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2_Raporty_okresowe\Wyniki roczne BRE - produkcja\2016\Raport Online\EXCELE do raportu\Noty - podział\"/>
    </mc:Choice>
  </mc:AlternateContent>
  <bookViews>
    <workbookView xWindow="0" yWindow="0" windowWidth="28800" windowHeight="12435" tabRatio="913" firstSheet="29" activeTab="36"/>
  </bookViews>
  <sheets>
    <sheet name="Nota 17 Kasa " sheetId="1" r:id="rId1"/>
    <sheet name="Nota 18 Naleźności od banków" sheetId="2" r:id="rId2"/>
    <sheet name="Nota 18 Banki - jakość" sheetId="3" r:id="rId3"/>
    <sheet name="Nota 18 Rating" sheetId="4" r:id="rId4"/>
    <sheet name="Nota 19 PDO " sheetId="5" r:id="rId5"/>
    <sheet name="Nota 20 Instr. pochodne" sheetId="6" r:id="rId6"/>
    <sheet name="Nota 21 Rach. zabezp." sheetId="7" r:id="rId7"/>
    <sheet name="Nota 21 CF rach. zabezp. " sheetId="8" r:id="rId8"/>
    <sheet name="Nota 22 Kredyty" sheetId="9" r:id="rId9"/>
    <sheet name="Nota 22 Rezerwy" sheetId="10" r:id="rId10"/>
    <sheet name="Nota 22 Kredyty jakość" sheetId="11" r:id="rId11"/>
    <sheet name="Nota 22 Kredyty nieprzeterm." sheetId="12" r:id="rId12"/>
    <sheet name="Nota 22 Kredyty przeterminowane" sheetId="13" r:id="rId13"/>
    <sheet name="Nota 22 Kredyty z utratą wart." sheetId="14" r:id="rId14"/>
    <sheet name="Nota 22 Finansowy efekt zabezp" sheetId="15" r:id="rId15"/>
    <sheet name="Nota 23 Inwestycyjne pap. wart." sheetId="16" r:id="rId16"/>
    <sheet name="Nota 23 cd" sheetId="17" r:id="rId17"/>
    <sheet name="Nota 24 Wartości niemat." sheetId="18" r:id="rId18"/>
    <sheet name="Nota 24 zmiana stanu  " sheetId="19" r:id="rId19"/>
    <sheet name="Nota 25 Rzeczowe aktywa" sheetId="20" r:id="rId20"/>
    <sheet name="Nota 25-zmiana stanu" sheetId="21" r:id="rId21"/>
    <sheet name="Nota 25 Leasing operacyjny" sheetId="22" r:id="rId22"/>
    <sheet name="Nota 26 Inne aktywa" sheetId="23" r:id="rId23"/>
    <sheet name="Nota 27 Zob. wobec banków" sheetId="24" r:id="rId24"/>
    <sheet name="Nota 28 Depozyty" sheetId="25" r:id="rId25"/>
    <sheet name="Nota 29 Dłużne pap. wart." sheetId="26" r:id="rId26"/>
    <sheet name="Nota 29 Zmiana stanu" sheetId="27" r:id="rId27"/>
    <sheet name="Nota 30 Zob. podporządkowane " sheetId="28" r:id="rId28"/>
    <sheet name="Nota 30 Zmiana stanu" sheetId="29" r:id="rId29"/>
    <sheet name="Nota 31 Pozostałe zob." sheetId="30" r:id="rId30"/>
    <sheet name="Nota 32 Rezerwy" sheetId="31" r:id="rId31"/>
    <sheet name="Nota 33 Podatek odr." sheetId="32" r:id="rId32"/>
    <sheet name="Nota 36 Zobowiązania warunkowe" sheetId="33" r:id="rId33"/>
    <sheet name="Nota 37 Aktywa zastawione" sheetId="34" r:id="rId34"/>
    <sheet name="Nota 38 Kapitał akcyjny" sheetId="35" r:id="rId35"/>
    <sheet name="Nota 40 Zyski zatrzymane" sheetId="36" r:id="rId36"/>
    <sheet name="Nota 41 Inne pozycje kapitału" sheetId="37" r:id="rId37"/>
  </sheets>
  <externalReferences>
    <externalReference r:id="rId38"/>
  </externalReferences>
  <definedNames>
    <definedName name="_xlnm.Print_Area" localSheetId="14">'Nota 22 Finansowy efekt zabezp'!$A$4:$E$23</definedName>
    <definedName name="_xlnm.Print_Area" localSheetId="8">'Nota 22 Kredyty'!$B$2:$D$22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7" l="1"/>
  <c r="D3" i="37"/>
  <c r="D30" i="37" s="1"/>
  <c r="C7" i="37"/>
  <c r="D7" i="37"/>
  <c r="C13" i="37"/>
  <c r="D13" i="37"/>
  <c r="C17" i="37"/>
  <c r="D17" i="37"/>
  <c r="C20" i="37"/>
  <c r="D20" i="37"/>
  <c r="C24" i="37"/>
  <c r="D24" i="37"/>
  <c r="C27" i="37"/>
  <c r="D27" i="37"/>
  <c r="C30" i="37"/>
  <c r="C8" i="36"/>
  <c r="D8" i="36"/>
  <c r="E4" i="35"/>
  <c r="F4" i="35"/>
  <c r="E5" i="35"/>
  <c r="F5" i="35" s="1"/>
  <c r="F6" i="35"/>
  <c r="F7" i="35"/>
  <c r="F8" i="35"/>
  <c r="F9" i="35"/>
  <c r="F10" i="35"/>
  <c r="F11" i="35"/>
  <c r="F12" i="35"/>
  <c r="F13" i="35"/>
  <c r="F14" i="35"/>
  <c r="F15" i="35"/>
  <c r="E16" i="35"/>
  <c r="F16" i="35" s="1"/>
  <c r="E17" i="35"/>
  <c r="F17" i="35"/>
  <c r="E18" i="35"/>
  <c r="F18" i="35" s="1"/>
  <c r="F19" i="35"/>
  <c r="E20" i="35"/>
  <c r="F20" i="35"/>
  <c r="E21" i="35"/>
  <c r="F21" i="35" s="1"/>
  <c r="E22" i="35"/>
  <c r="F22" i="35"/>
  <c r="C37" i="35"/>
  <c r="D37" i="35"/>
  <c r="D38" i="35"/>
  <c r="D39" i="35"/>
  <c r="D40" i="35"/>
  <c r="D41" i="35"/>
  <c r="D42" i="35"/>
  <c r="D43" i="35"/>
  <c r="C45" i="35"/>
  <c r="D45" i="35"/>
  <c r="D48" i="35"/>
  <c r="D49" i="35"/>
  <c r="D50" i="35"/>
  <c r="C51" i="35"/>
  <c r="C57" i="35" s="1"/>
  <c r="D52" i="35"/>
  <c r="D53" i="35"/>
  <c r="D54" i="35"/>
  <c r="F54" i="35"/>
  <c r="D60" i="35"/>
  <c r="D69" i="35" s="1"/>
  <c r="C61" i="35"/>
  <c r="D61" i="35" s="1"/>
  <c r="C62" i="35"/>
  <c r="D62" i="35"/>
  <c r="D63" i="35"/>
  <c r="C69" i="35"/>
  <c r="F7" i="34"/>
  <c r="G7" i="34"/>
  <c r="G16" i="34" s="1"/>
  <c r="H7" i="34"/>
  <c r="H16" i="34" s="1"/>
  <c r="C8" i="34"/>
  <c r="E8" i="34" s="1"/>
  <c r="E7" i="34" s="1"/>
  <c r="E16" i="34" s="1"/>
  <c r="I16" i="34" s="1"/>
  <c r="C9" i="34"/>
  <c r="D9" i="34"/>
  <c r="D7" i="34" s="1"/>
  <c r="D16" i="34" s="1"/>
  <c r="E9" i="34"/>
  <c r="I9" i="34" s="1"/>
  <c r="I10" i="34"/>
  <c r="C11" i="34"/>
  <c r="I11" i="34"/>
  <c r="E12" i="34"/>
  <c r="I12" i="34" s="1"/>
  <c r="I13" i="34"/>
  <c r="I14" i="34"/>
  <c r="I15" i="34"/>
  <c r="F16" i="34"/>
  <c r="C34" i="34"/>
  <c r="D25" i="34"/>
  <c r="D34" i="34" s="1"/>
  <c r="E25" i="34"/>
  <c r="F25" i="34"/>
  <c r="F34" i="34" s="1"/>
  <c r="G25" i="34"/>
  <c r="G34" i="34" s="1"/>
  <c r="H25" i="34"/>
  <c r="H34" i="34" s="1"/>
  <c r="I26" i="34"/>
  <c r="I27" i="34"/>
  <c r="I28" i="34"/>
  <c r="I29" i="34"/>
  <c r="E34" i="34"/>
  <c r="C5" i="33"/>
  <c r="C4" i="33" s="1"/>
  <c r="D5" i="33"/>
  <c r="D4" i="33" s="1"/>
  <c r="D3" i="33" s="1"/>
  <c r="D23" i="33" s="1"/>
  <c r="E5" i="33"/>
  <c r="E4" i="33" s="1"/>
  <c r="E3" i="33" s="1"/>
  <c r="E23" i="33" s="1"/>
  <c r="F5" i="33"/>
  <c r="F6" i="33"/>
  <c r="F7" i="33"/>
  <c r="F8" i="33"/>
  <c r="C9" i="33"/>
  <c r="F9" i="33" s="1"/>
  <c r="D9" i="33"/>
  <c r="E9" i="33"/>
  <c r="F10" i="33"/>
  <c r="F11" i="33"/>
  <c r="F12" i="33"/>
  <c r="F13" i="33"/>
  <c r="F14" i="33"/>
  <c r="C15" i="33"/>
  <c r="D15" i="33"/>
  <c r="E15" i="33"/>
  <c r="F15" i="33"/>
  <c r="F16" i="33"/>
  <c r="F17" i="33"/>
  <c r="F18" i="33"/>
  <c r="C19" i="33"/>
  <c r="D19" i="33"/>
  <c r="E19" i="33"/>
  <c r="F20" i="33"/>
  <c r="F19" i="33" s="1"/>
  <c r="F21" i="33"/>
  <c r="F22" i="33"/>
  <c r="C29" i="33"/>
  <c r="F29" i="33" s="1"/>
  <c r="D29" i="33"/>
  <c r="D28" i="33" s="1"/>
  <c r="D27" i="33" s="1"/>
  <c r="D47" i="33" s="1"/>
  <c r="E29" i="33"/>
  <c r="E28" i="33" s="1"/>
  <c r="E27" i="33" s="1"/>
  <c r="E47" i="33" s="1"/>
  <c r="F30" i="33"/>
  <c r="F31" i="33"/>
  <c r="F32" i="33"/>
  <c r="C33" i="33"/>
  <c r="F33" i="33" s="1"/>
  <c r="D33" i="33"/>
  <c r="E33" i="33"/>
  <c r="F34" i="33"/>
  <c r="F35" i="33"/>
  <c r="F36" i="33"/>
  <c r="F37" i="33"/>
  <c r="F38" i="33"/>
  <c r="C39" i="33"/>
  <c r="D39" i="33"/>
  <c r="E39" i="33"/>
  <c r="F40" i="33"/>
  <c r="F39" i="33" s="1"/>
  <c r="F41" i="33"/>
  <c r="C43" i="33"/>
  <c r="D43" i="33"/>
  <c r="E43" i="33"/>
  <c r="F43" i="33"/>
  <c r="F44" i="33"/>
  <c r="F45" i="33"/>
  <c r="F46" i="33"/>
  <c r="C7" i="32"/>
  <c r="I7" i="32" s="1"/>
  <c r="E7" i="32"/>
  <c r="D15" i="32"/>
  <c r="E15" i="32"/>
  <c r="F15" i="32"/>
  <c r="G15" i="32"/>
  <c r="H15" i="32"/>
  <c r="I20" i="32"/>
  <c r="C5" i="32" s="1"/>
  <c r="I21" i="32"/>
  <c r="C6" i="32" s="1"/>
  <c r="I6" i="32" s="1"/>
  <c r="I22" i="32"/>
  <c r="I23" i="32"/>
  <c r="C8" i="32" s="1"/>
  <c r="I8" i="32" s="1"/>
  <c r="I24" i="32"/>
  <c r="C9" i="32" s="1"/>
  <c r="I9" i="32" s="1"/>
  <c r="I25" i="32"/>
  <c r="C10" i="32" s="1"/>
  <c r="I10" i="32" s="1"/>
  <c r="I26" i="32"/>
  <c r="C11" i="32" s="1"/>
  <c r="I11" i="32" s="1"/>
  <c r="I27" i="32"/>
  <c r="C12" i="32" s="1"/>
  <c r="I12" i="32" s="1"/>
  <c r="I28" i="32"/>
  <c r="C13" i="32" s="1"/>
  <c r="I13" i="32" s="1"/>
  <c r="I29" i="32"/>
  <c r="C14" i="32" s="1"/>
  <c r="I14" i="32" s="1"/>
  <c r="C30" i="32"/>
  <c r="D30" i="32"/>
  <c r="E30" i="32"/>
  <c r="F30" i="32"/>
  <c r="G30" i="32"/>
  <c r="H30" i="32"/>
  <c r="I30" i="32"/>
  <c r="D44" i="32"/>
  <c r="E44" i="32"/>
  <c r="F44" i="32"/>
  <c r="G44" i="32"/>
  <c r="H44" i="32"/>
  <c r="I49" i="32"/>
  <c r="C37" i="32" s="1"/>
  <c r="I50" i="32"/>
  <c r="C38" i="32" s="1"/>
  <c r="I38" i="32" s="1"/>
  <c r="I51" i="32"/>
  <c r="C39" i="32" s="1"/>
  <c r="I39" i="32" s="1"/>
  <c r="I52" i="32"/>
  <c r="C40" i="32" s="1"/>
  <c r="I40" i="32" s="1"/>
  <c r="I53" i="32"/>
  <c r="C41" i="32" s="1"/>
  <c r="I41" i="32" s="1"/>
  <c r="I54" i="32"/>
  <c r="C42" i="32" s="1"/>
  <c r="I42" i="32" s="1"/>
  <c r="I55" i="32"/>
  <c r="C43" i="32" s="1"/>
  <c r="I43" i="32" s="1"/>
  <c r="C56" i="32"/>
  <c r="D56" i="32"/>
  <c r="E56" i="32"/>
  <c r="F56" i="32"/>
  <c r="I56" i="32" s="1"/>
  <c r="G56" i="32"/>
  <c r="H56" i="32"/>
  <c r="C75" i="32"/>
  <c r="D75" i="32"/>
  <c r="C6" i="31"/>
  <c r="D6" i="31"/>
  <c r="C11" i="31"/>
  <c r="C16" i="31"/>
  <c r="D16" i="31"/>
  <c r="D15" i="31" s="1"/>
  <c r="D30" i="31" s="1"/>
  <c r="C20" i="31"/>
  <c r="C15" i="31" s="1"/>
  <c r="D20" i="31"/>
  <c r="C30" i="31"/>
  <c r="C41" i="31"/>
  <c r="D41" i="31"/>
  <c r="C46" i="31"/>
  <c r="D46" i="31"/>
  <c r="C14" i="30"/>
  <c r="D14" i="30"/>
  <c r="C20" i="30"/>
  <c r="C25" i="30"/>
  <c r="D25" i="30"/>
  <c r="C29" i="30"/>
  <c r="D29" i="30"/>
  <c r="C33" i="30"/>
  <c r="D33" i="30"/>
  <c r="C37" i="30"/>
  <c r="D37" i="30"/>
  <c r="C41" i="30"/>
  <c r="D41" i="30"/>
  <c r="C46" i="30"/>
  <c r="D46" i="30"/>
  <c r="C47" i="30"/>
  <c r="D47" i="30"/>
  <c r="C48" i="30"/>
  <c r="D48" i="30"/>
  <c r="C50" i="30"/>
  <c r="D50" i="30"/>
  <c r="C54" i="30"/>
  <c r="D54" i="30"/>
  <c r="C62" i="30"/>
  <c r="D62" i="30"/>
  <c r="C66" i="30"/>
  <c r="D66" i="30"/>
  <c r="C70" i="30"/>
  <c r="D70" i="30"/>
  <c r="D9" i="29"/>
  <c r="C3" i="29" s="1"/>
  <c r="C9" i="29" s="1"/>
  <c r="G9" i="28"/>
  <c r="G23" i="28"/>
  <c r="D9" i="27"/>
  <c r="C3" i="27" s="1"/>
  <c r="C9" i="27" s="1"/>
  <c r="F6" i="26"/>
  <c r="B23" i="26"/>
  <c r="F23" i="26"/>
  <c r="F26" i="26"/>
  <c r="B28" i="26"/>
  <c r="B6" i="26" s="1"/>
  <c r="F28" i="26"/>
  <c r="F31" i="26"/>
  <c r="B34" i="26"/>
  <c r="B38" i="26"/>
  <c r="F39" i="26"/>
  <c r="F37" i="26" s="1"/>
  <c r="B41" i="26"/>
  <c r="B42" i="26"/>
  <c r="B48" i="26"/>
  <c r="B51" i="26"/>
  <c r="B52" i="26"/>
  <c r="B56" i="26"/>
  <c r="B59" i="26"/>
  <c r="B64" i="26"/>
  <c r="B65" i="26"/>
  <c r="B66" i="26"/>
  <c r="B67" i="26"/>
  <c r="B68" i="26"/>
  <c r="B69" i="26"/>
  <c r="B83" i="26"/>
  <c r="F83" i="26"/>
  <c r="F134" i="26" s="1"/>
  <c r="B95" i="26"/>
  <c r="F95" i="26"/>
  <c r="C3" i="25"/>
  <c r="D3" i="25"/>
  <c r="C8" i="25"/>
  <c r="D8" i="25"/>
  <c r="C11" i="25"/>
  <c r="D11" i="25"/>
  <c r="C16" i="25"/>
  <c r="D16" i="25"/>
  <c r="C19" i="25"/>
  <c r="D19" i="25"/>
  <c r="C23" i="25"/>
  <c r="D23" i="25"/>
  <c r="C26" i="25"/>
  <c r="D26" i="25"/>
  <c r="C10" i="24"/>
  <c r="D10" i="24"/>
  <c r="C4" i="23"/>
  <c r="D4" i="23"/>
  <c r="C8" i="23"/>
  <c r="C15" i="23" s="1"/>
  <c r="D8" i="23"/>
  <c r="D15" i="23" s="1"/>
  <c r="G20" i="23" s="1"/>
  <c r="C23" i="23"/>
  <c r="D24" i="23"/>
  <c r="D23" i="23" s="1"/>
  <c r="D28" i="23" s="1"/>
  <c r="C28" i="23"/>
  <c r="C8" i="22"/>
  <c r="D8" i="22"/>
  <c r="C4" i="21"/>
  <c r="D4" i="21"/>
  <c r="E4" i="21"/>
  <c r="F4" i="21"/>
  <c r="G4" i="21"/>
  <c r="H4" i="21"/>
  <c r="I5" i="21"/>
  <c r="I6" i="21"/>
  <c r="I7" i="21"/>
  <c r="I8" i="21"/>
  <c r="C9" i="21"/>
  <c r="D9" i="21"/>
  <c r="E9" i="21"/>
  <c r="F9" i="21"/>
  <c r="G9" i="21"/>
  <c r="H9" i="21"/>
  <c r="I10" i="21"/>
  <c r="I11" i="21"/>
  <c r="I12" i="21"/>
  <c r="I13" i="21"/>
  <c r="I14" i="21"/>
  <c r="I15" i="21"/>
  <c r="C17" i="21"/>
  <c r="H17" i="21"/>
  <c r="H26" i="21" s="1"/>
  <c r="C18" i="21"/>
  <c r="D18" i="21"/>
  <c r="E18" i="21"/>
  <c r="F18" i="21"/>
  <c r="G18" i="21"/>
  <c r="H18" i="21"/>
  <c r="I18" i="21"/>
  <c r="I19" i="21"/>
  <c r="I20" i="21"/>
  <c r="I21" i="21"/>
  <c r="I22" i="21"/>
  <c r="I23" i="21"/>
  <c r="I24" i="21"/>
  <c r="I25" i="21"/>
  <c r="C27" i="21"/>
  <c r="G27" i="21"/>
  <c r="G30" i="21" s="1"/>
  <c r="H27" i="21"/>
  <c r="H30" i="21" s="1"/>
  <c r="I28" i="21"/>
  <c r="I29" i="21"/>
  <c r="C30" i="21"/>
  <c r="F30" i="21"/>
  <c r="I37" i="21"/>
  <c r="C38" i="21"/>
  <c r="D38" i="21"/>
  <c r="I38" i="21" s="1"/>
  <c r="E38" i="21"/>
  <c r="F38" i="21"/>
  <c r="G38" i="21"/>
  <c r="H38" i="21"/>
  <c r="H50" i="21" s="1"/>
  <c r="I39" i="21"/>
  <c r="I40" i="21"/>
  <c r="I41" i="21"/>
  <c r="I42" i="21"/>
  <c r="C43" i="21"/>
  <c r="C50" i="21" s="1"/>
  <c r="D43" i="21"/>
  <c r="E43" i="21"/>
  <c r="F43" i="21"/>
  <c r="F50" i="21" s="1"/>
  <c r="F3" i="21" s="1"/>
  <c r="F16" i="21" s="1"/>
  <c r="G43" i="21"/>
  <c r="G50" i="21" s="1"/>
  <c r="H43" i="21"/>
  <c r="I43" i="21"/>
  <c r="I44" i="21"/>
  <c r="I45" i="21"/>
  <c r="I46" i="21"/>
  <c r="I47" i="21"/>
  <c r="I48" i="21"/>
  <c r="I49" i="21"/>
  <c r="E50" i="21"/>
  <c r="E65" i="21" s="1"/>
  <c r="I51" i="21"/>
  <c r="C52" i="21"/>
  <c r="D52" i="21"/>
  <c r="D60" i="21" s="1"/>
  <c r="D17" i="21" s="1"/>
  <c r="D26" i="21" s="1"/>
  <c r="E52" i="21"/>
  <c r="E60" i="21" s="1"/>
  <c r="E17" i="21" s="1"/>
  <c r="E26" i="21" s="1"/>
  <c r="F52" i="21"/>
  <c r="G52" i="21"/>
  <c r="H52" i="21"/>
  <c r="H60" i="21" s="1"/>
  <c r="I52" i="21"/>
  <c r="I53" i="21"/>
  <c r="I54" i="21"/>
  <c r="I55" i="21"/>
  <c r="I56" i="21"/>
  <c r="I57" i="21"/>
  <c r="I58" i="21"/>
  <c r="I59" i="21"/>
  <c r="C60" i="21"/>
  <c r="F60" i="21"/>
  <c r="F17" i="21" s="1"/>
  <c r="F26" i="21" s="1"/>
  <c r="G60" i="21"/>
  <c r="G17" i="21" s="1"/>
  <c r="G26" i="21" s="1"/>
  <c r="I61" i="21"/>
  <c r="I62" i="21"/>
  <c r="I63" i="21"/>
  <c r="C64" i="21"/>
  <c r="D64" i="21"/>
  <c r="D27" i="21" s="1"/>
  <c r="D30" i="21" s="1"/>
  <c r="E64" i="21"/>
  <c r="E27" i="21" s="1"/>
  <c r="E30" i="21" s="1"/>
  <c r="F64" i="21"/>
  <c r="F27" i="21" s="1"/>
  <c r="G64" i="21"/>
  <c r="H64" i="21"/>
  <c r="I64" i="21"/>
  <c r="F65" i="21"/>
  <c r="C3" i="20"/>
  <c r="D3" i="20"/>
  <c r="C10" i="20"/>
  <c r="D10" i="20"/>
  <c r="D4" i="19"/>
  <c r="C5" i="19"/>
  <c r="D5" i="19"/>
  <c r="E5" i="19"/>
  <c r="F5" i="19"/>
  <c r="I5" i="19" s="1"/>
  <c r="G5" i="19"/>
  <c r="H5" i="19"/>
  <c r="I6" i="19"/>
  <c r="I7" i="19"/>
  <c r="I8" i="19"/>
  <c r="I9" i="19"/>
  <c r="I10" i="19"/>
  <c r="I11" i="19"/>
  <c r="C12" i="19"/>
  <c r="D12" i="19"/>
  <c r="E12" i="19"/>
  <c r="F12" i="19"/>
  <c r="G12" i="19"/>
  <c r="H12" i="19"/>
  <c r="I12" i="19"/>
  <c r="I13" i="19"/>
  <c r="I14" i="19"/>
  <c r="I15" i="19"/>
  <c r="I16" i="19"/>
  <c r="I17" i="19"/>
  <c r="D18" i="19"/>
  <c r="E19" i="19"/>
  <c r="E28" i="19" s="1"/>
  <c r="C20" i="19"/>
  <c r="D20" i="19"/>
  <c r="E20" i="19"/>
  <c r="F20" i="19"/>
  <c r="G20" i="19"/>
  <c r="H20" i="19"/>
  <c r="I21" i="19"/>
  <c r="I22" i="19"/>
  <c r="I23" i="19"/>
  <c r="I24" i="19"/>
  <c r="I25" i="19"/>
  <c r="I26" i="19"/>
  <c r="I27" i="19"/>
  <c r="D28" i="19"/>
  <c r="E29" i="19"/>
  <c r="E32" i="19" s="1"/>
  <c r="I30" i="19"/>
  <c r="I31" i="19"/>
  <c r="H32" i="19"/>
  <c r="I40" i="19"/>
  <c r="C41" i="19"/>
  <c r="D41" i="19"/>
  <c r="D54" i="19" s="1"/>
  <c r="E41" i="19"/>
  <c r="F41" i="19"/>
  <c r="F54" i="19" s="1"/>
  <c r="G41" i="19"/>
  <c r="G54" i="19" s="1"/>
  <c r="G4" i="19" s="1"/>
  <c r="G18" i="19" s="1"/>
  <c r="H41" i="19"/>
  <c r="H54" i="19" s="1"/>
  <c r="I42" i="19"/>
  <c r="I43" i="19"/>
  <c r="I44" i="19"/>
  <c r="I45" i="19"/>
  <c r="I46" i="19"/>
  <c r="I47" i="19"/>
  <c r="C48" i="19"/>
  <c r="D48" i="19"/>
  <c r="E48" i="19"/>
  <c r="F48" i="19"/>
  <c r="I48" i="19" s="1"/>
  <c r="G48" i="19"/>
  <c r="H48" i="19"/>
  <c r="I49" i="19"/>
  <c r="I50" i="19"/>
  <c r="I51" i="19"/>
  <c r="I52" i="19"/>
  <c r="I53" i="19"/>
  <c r="E54" i="19"/>
  <c r="E69" i="19" s="1"/>
  <c r="I55" i="19"/>
  <c r="C56" i="19"/>
  <c r="D56" i="19"/>
  <c r="E56" i="19"/>
  <c r="E64" i="19" s="1"/>
  <c r="F56" i="19"/>
  <c r="F64" i="19" s="1"/>
  <c r="F19" i="19" s="1"/>
  <c r="F28" i="19" s="1"/>
  <c r="G56" i="19"/>
  <c r="H56" i="19"/>
  <c r="I57" i="19"/>
  <c r="I58" i="19"/>
  <c r="I59" i="19"/>
  <c r="I60" i="19"/>
  <c r="I61" i="19"/>
  <c r="I62" i="19"/>
  <c r="I63" i="19"/>
  <c r="C64" i="19"/>
  <c r="C19" i="19" s="1"/>
  <c r="D64" i="19"/>
  <c r="D19" i="19" s="1"/>
  <c r="G64" i="19"/>
  <c r="G19" i="19" s="1"/>
  <c r="G28" i="19" s="1"/>
  <c r="H64" i="19"/>
  <c r="H19" i="19" s="1"/>
  <c r="H28" i="19" s="1"/>
  <c r="I65" i="19"/>
  <c r="I66" i="19"/>
  <c r="I67" i="19"/>
  <c r="I68" i="19" s="1"/>
  <c r="C68" i="19"/>
  <c r="C29" i="19" s="1"/>
  <c r="C32" i="19" s="1"/>
  <c r="D68" i="19"/>
  <c r="D29" i="19" s="1"/>
  <c r="D32" i="19" s="1"/>
  <c r="E68" i="19"/>
  <c r="F68" i="19"/>
  <c r="F29" i="19" s="1"/>
  <c r="F32" i="19" s="1"/>
  <c r="G68" i="19"/>
  <c r="G29" i="19" s="1"/>
  <c r="G32" i="19" s="1"/>
  <c r="H68" i="19"/>
  <c r="H29" i="19" s="1"/>
  <c r="C10" i="18"/>
  <c r="D10" i="18"/>
  <c r="C10" i="17"/>
  <c r="D10" i="17"/>
  <c r="D22" i="17"/>
  <c r="C36" i="17"/>
  <c r="D36" i="17"/>
  <c r="C44" i="17"/>
  <c r="D44" i="17"/>
  <c r="C47" i="17"/>
  <c r="C53" i="17"/>
  <c r="D53" i="17"/>
  <c r="D61" i="17"/>
  <c r="C55" i="17" s="1"/>
  <c r="C61" i="17" s="1"/>
  <c r="D63" i="17"/>
  <c r="D69" i="17"/>
  <c r="C63" i="17" s="1"/>
  <c r="C69" i="17" s="1"/>
  <c r="F4" i="16"/>
  <c r="C5" i="16"/>
  <c r="D5" i="16"/>
  <c r="D4" i="16" s="1"/>
  <c r="F5" i="16"/>
  <c r="G5" i="16"/>
  <c r="G4" i="16" s="1"/>
  <c r="E6" i="16"/>
  <c r="H6" i="16"/>
  <c r="E7" i="16"/>
  <c r="H7" i="16"/>
  <c r="E8" i="16"/>
  <c r="H8" i="16"/>
  <c r="C9" i="16"/>
  <c r="E9" i="16" s="1"/>
  <c r="D9" i="16"/>
  <c r="F9" i="16"/>
  <c r="G9" i="16"/>
  <c r="H9" i="16"/>
  <c r="E10" i="16"/>
  <c r="H10" i="16"/>
  <c r="E11" i="16"/>
  <c r="H11" i="16"/>
  <c r="E12" i="16"/>
  <c r="H12" i="16"/>
  <c r="E13" i="16"/>
  <c r="H13" i="16"/>
  <c r="C14" i="16"/>
  <c r="D14" i="16"/>
  <c r="E14" i="16"/>
  <c r="F14" i="16"/>
  <c r="G14" i="16"/>
  <c r="E15" i="16"/>
  <c r="H15" i="16"/>
  <c r="H14" i="16" s="1"/>
  <c r="E16" i="16"/>
  <c r="H16" i="16"/>
  <c r="D18" i="16"/>
  <c r="G18" i="16"/>
  <c r="E20" i="16"/>
  <c r="H20" i="16"/>
  <c r="E21" i="16"/>
  <c r="H21" i="16"/>
  <c r="B6" i="15"/>
  <c r="C6" i="15"/>
  <c r="E6" i="15"/>
  <c r="C7" i="15"/>
  <c r="D8" i="15"/>
  <c r="B9" i="15"/>
  <c r="B10" i="15"/>
  <c r="B11" i="15"/>
  <c r="D12" i="15"/>
  <c r="B13" i="15"/>
  <c r="D14" i="15"/>
  <c r="B15" i="15"/>
  <c r="B16" i="15"/>
  <c r="B17" i="15"/>
  <c r="C18" i="15"/>
  <c r="E20" i="15"/>
  <c r="E21" i="15"/>
  <c r="B22" i="15"/>
  <c r="C22" i="15"/>
  <c r="D22" i="15"/>
  <c r="E22" i="15"/>
  <c r="E29" i="15"/>
  <c r="E41" i="15" s="1"/>
  <c r="B31" i="15"/>
  <c r="C31" i="15"/>
  <c r="D31" i="15"/>
  <c r="E31" i="15"/>
  <c r="E32" i="15"/>
  <c r="E33" i="15"/>
  <c r="E34" i="15"/>
  <c r="B35" i="15"/>
  <c r="C35" i="15"/>
  <c r="E36" i="15"/>
  <c r="B37" i="15"/>
  <c r="C37" i="15"/>
  <c r="D37" i="15"/>
  <c r="D35" i="15" s="1"/>
  <c r="E37" i="15"/>
  <c r="E38" i="15"/>
  <c r="E39" i="15"/>
  <c r="E40" i="15"/>
  <c r="E43" i="15"/>
  <c r="E45" i="15" s="1"/>
  <c r="E44" i="15"/>
  <c r="B45" i="15"/>
  <c r="C45" i="15"/>
  <c r="D45" i="15"/>
  <c r="M8" i="14"/>
  <c r="M9" i="14"/>
  <c r="M11" i="14"/>
  <c r="M12" i="14"/>
  <c r="M6" i="13"/>
  <c r="M7" i="13"/>
  <c r="M8" i="13"/>
  <c r="M9" i="13"/>
  <c r="B10" i="13"/>
  <c r="C10" i="13"/>
  <c r="D10" i="13"/>
  <c r="E10" i="13"/>
  <c r="F10" i="13"/>
  <c r="G10" i="13"/>
  <c r="H10" i="13"/>
  <c r="I10" i="13"/>
  <c r="J10" i="13"/>
  <c r="K10" i="13"/>
  <c r="L10" i="13"/>
  <c r="M16" i="13"/>
  <c r="M17" i="13"/>
  <c r="M18" i="13"/>
  <c r="M19" i="13"/>
  <c r="B20" i="13"/>
  <c r="C20" i="13"/>
  <c r="D20" i="13"/>
  <c r="E20" i="13"/>
  <c r="F20" i="13"/>
  <c r="M20" i="13" s="1"/>
  <c r="M21" i="13" s="1"/>
  <c r="G20" i="13"/>
  <c r="H20" i="13"/>
  <c r="I20" i="13"/>
  <c r="J20" i="13"/>
  <c r="K20" i="13"/>
  <c r="L20" i="13"/>
  <c r="M5" i="12"/>
  <c r="M6" i="12"/>
  <c r="M7" i="12"/>
  <c r="M8" i="12"/>
  <c r="M9" i="12"/>
  <c r="M10" i="12"/>
  <c r="M11" i="12"/>
  <c r="M12" i="12"/>
  <c r="M13" i="12"/>
  <c r="M14" i="12"/>
  <c r="B15" i="12"/>
  <c r="C15" i="12"/>
  <c r="D15" i="12"/>
  <c r="E15" i="12"/>
  <c r="F15" i="12"/>
  <c r="G15" i="12"/>
  <c r="H15" i="12"/>
  <c r="I15" i="12"/>
  <c r="J15" i="12"/>
  <c r="K15" i="12"/>
  <c r="L15" i="12"/>
  <c r="M21" i="12"/>
  <c r="M22" i="12"/>
  <c r="M23" i="12"/>
  <c r="M24" i="12"/>
  <c r="M25" i="12"/>
  <c r="M26" i="12"/>
  <c r="M27" i="12"/>
  <c r="M28" i="12"/>
  <c r="M29" i="12"/>
  <c r="M30" i="12"/>
  <c r="B31" i="12"/>
  <c r="C31" i="12"/>
  <c r="D31" i="12"/>
  <c r="E31" i="12"/>
  <c r="F31" i="12"/>
  <c r="G31" i="12"/>
  <c r="H31" i="12"/>
  <c r="I31" i="12"/>
  <c r="J31" i="12"/>
  <c r="K31" i="12"/>
  <c r="L31" i="12"/>
  <c r="M31" i="12"/>
  <c r="M32" i="12" s="1"/>
  <c r="B8" i="11"/>
  <c r="C5" i="11" s="1"/>
  <c r="D8" i="11"/>
  <c r="E9" i="11"/>
  <c r="B10" i="11"/>
  <c r="D10" i="11"/>
  <c r="C4" i="10"/>
  <c r="D4" i="10"/>
  <c r="E4" i="10"/>
  <c r="F4" i="10"/>
  <c r="G4" i="10"/>
  <c r="B7" i="10"/>
  <c r="H7" i="10"/>
  <c r="C11" i="15" s="1"/>
  <c r="E11" i="15" s="1"/>
  <c r="C9" i="10"/>
  <c r="C17" i="10" s="1"/>
  <c r="F9" i="10"/>
  <c r="G9" i="10"/>
  <c r="G17" i="10" s="1"/>
  <c r="C11" i="10"/>
  <c r="D11" i="10"/>
  <c r="D9" i="10" s="1"/>
  <c r="D17" i="10" s="1"/>
  <c r="E11" i="10"/>
  <c r="E9" i="10" s="1"/>
  <c r="F11" i="10"/>
  <c r="G11" i="10"/>
  <c r="B12" i="10"/>
  <c r="H12" i="10" s="1"/>
  <c r="C15" i="15" s="1"/>
  <c r="B16" i="10"/>
  <c r="H16" i="10" s="1"/>
  <c r="C17" i="15" s="1"/>
  <c r="E17" i="15" s="1"/>
  <c r="E17" i="10"/>
  <c r="B22" i="10"/>
  <c r="C22" i="10"/>
  <c r="D22" i="10"/>
  <c r="H22" i="10" s="1"/>
  <c r="E22" i="10"/>
  <c r="F22" i="10"/>
  <c r="G22" i="10"/>
  <c r="H23" i="10"/>
  <c r="B5" i="10" s="1"/>
  <c r="H24" i="10"/>
  <c r="B6" i="10" s="1"/>
  <c r="H6" i="10" s="1"/>
  <c r="C10" i="15" s="1"/>
  <c r="E10" i="15" s="1"/>
  <c r="H25" i="10"/>
  <c r="H26" i="10"/>
  <c r="B8" i="10" s="1"/>
  <c r="H8" i="10" s="1"/>
  <c r="F27" i="10"/>
  <c r="F35" i="10" s="1"/>
  <c r="G27" i="10"/>
  <c r="H28" i="10"/>
  <c r="B10" i="10" s="1"/>
  <c r="B29" i="10"/>
  <c r="C29" i="10"/>
  <c r="C27" i="10" s="1"/>
  <c r="C35" i="10" s="1"/>
  <c r="D29" i="10"/>
  <c r="D27" i="10" s="1"/>
  <c r="E29" i="10"/>
  <c r="E27" i="10" s="1"/>
  <c r="F29" i="10"/>
  <c r="H30" i="10"/>
  <c r="H31" i="10"/>
  <c r="B13" i="10" s="1"/>
  <c r="H13" i="10" s="1"/>
  <c r="C16" i="15" s="1"/>
  <c r="E16" i="15" s="1"/>
  <c r="H32" i="10"/>
  <c r="B14" i="10" s="1"/>
  <c r="H14" i="10" s="1"/>
  <c r="H33" i="10"/>
  <c r="B15" i="10" s="1"/>
  <c r="H15" i="10" s="1"/>
  <c r="H34" i="10"/>
  <c r="G35" i="10"/>
  <c r="C3" i="9"/>
  <c r="D3" i="9"/>
  <c r="D17" i="9" s="1"/>
  <c r="D19" i="9" s="1"/>
  <c r="C8" i="9"/>
  <c r="C10" i="9"/>
  <c r="D10" i="9"/>
  <c r="D8" i="9" s="1"/>
  <c r="C17" i="9"/>
  <c r="C19" i="9" s="1"/>
  <c r="C13" i="34" s="1"/>
  <c r="C16" i="34" s="1"/>
  <c r="C18" i="34" s="1"/>
  <c r="C29" i="9"/>
  <c r="D29" i="9"/>
  <c r="C34" i="9"/>
  <c r="D34" i="9"/>
  <c r="C38" i="9"/>
  <c r="D38" i="9"/>
  <c r="C43" i="9"/>
  <c r="D43" i="9"/>
  <c r="C49" i="9"/>
  <c r="C51" i="9" s="1"/>
  <c r="D49" i="9"/>
  <c r="D51" i="9"/>
  <c r="C5" i="7"/>
  <c r="C6" i="7" s="1"/>
  <c r="C7" i="7" s="1"/>
  <c r="D5" i="7"/>
  <c r="D6" i="7"/>
  <c r="D7" i="7" s="1"/>
  <c r="C8" i="7"/>
  <c r="C10" i="7" s="1"/>
  <c r="D8" i="7"/>
  <c r="D10" i="7" s="1"/>
  <c r="D9" i="7"/>
  <c r="C14" i="7"/>
  <c r="D17" i="7"/>
  <c r="C22" i="7"/>
  <c r="C23" i="7"/>
  <c r="C24" i="7"/>
  <c r="D25" i="7"/>
  <c r="C30" i="7"/>
  <c r="C15" i="7" s="1"/>
  <c r="C31" i="7"/>
  <c r="C16" i="7" s="1"/>
  <c r="D32" i="7"/>
  <c r="C11" i="6"/>
  <c r="D11" i="6"/>
  <c r="E11" i="6"/>
  <c r="E15" i="6" s="1"/>
  <c r="E29" i="6" s="1"/>
  <c r="F11" i="6"/>
  <c r="C15" i="6"/>
  <c r="D15" i="6"/>
  <c r="F15" i="6"/>
  <c r="C22" i="6"/>
  <c r="D22" i="6"/>
  <c r="E22" i="6"/>
  <c r="E25" i="6" s="1"/>
  <c r="F22" i="6"/>
  <c r="C25" i="6"/>
  <c r="D25" i="6"/>
  <c r="F25" i="6"/>
  <c r="C29" i="6"/>
  <c r="D29" i="6"/>
  <c r="F29" i="6"/>
  <c r="C32" i="6"/>
  <c r="D32" i="6"/>
  <c r="E32" i="6"/>
  <c r="E40" i="6" s="1"/>
  <c r="F32" i="6"/>
  <c r="C37" i="6"/>
  <c r="D37" i="6"/>
  <c r="D40" i="6" s="1"/>
  <c r="D42" i="6" s="1"/>
  <c r="D45" i="6" s="1"/>
  <c r="E37" i="6"/>
  <c r="F37" i="6"/>
  <c r="C40" i="6"/>
  <c r="F40" i="6"/>
  <c r="C42" i="6"/>
  <c r="F42" i="6"/>
  <c r="C45" i="6"/>
  <c r="F45" i="6"/>
  <c r="C61" i="6"/>
  <c r="D61" i="6"/>
  <c r="E61" i="6"/>
  <c r="F61" i="6"/>
  <c r="F65" i="6" s="1"/>
  <c r="F79" i="6" s="1"/>
  <c r="F92" i="6" s="1"/>
  <c r="F95" i="6" s="1"/>
  <c r="C65" i="6"/>
  <c r="D65" i="6"/>
  <c r="E65" i="6"/>
  <c r="C72" i="6"/>
  <c r="D72" i="6"/>
  <c r="E72" i="6"/>
  <c r="F72" i="6"/>
  <c r="C75" i="6"/>
  <c r="D75" i="6"/>
  <c r="E75" i="6"/>
  <c r="F75" i="6"/>
  <c r="C79" i="6"/>
  <c r="D79" i="6"/>
  <c r="E79" i="6"/>
  <c r="C82" i="6"/>
  <c r="D82" i="6"/>
  <c r="E82" i="6"/>
  <c r="F82" i="6"/>
  <c r="F90" i="6" s="1"/>
  <c r="C87" i="6"/>
  <c r="D87" i="6"/>
  <c r="E87" i="6"/>
  <c r="E90" i="6" s="1"/>
  <c r="E92" i="6" s="1"/>
  <c r="E95" i="6" s="1"/>
  <c r="F87" i="6"/>
  <c r="C90" i="6"/>
  <c r="D90" i="6"/>
  <c r="C92" i="6"/>
  <c r="D92" i="6"/>
  <c r="D95" i="6" s="1"/>
  <c r="C95" i="6"/>
  <c r="F4" i="5"/>
  <c r="F18" i="5" s="1"/>
  <c r="C5" i="5"/>
  <c r="C4" i="5" s="1"/>
  <c r="C18" i="5" s="1"/>
  <c r="D5" i="5"/>
  <c r="D4" i="5" s="1"/>
  <c r="D18" i="5" s="1"/>
  <c r="F5" i="5"/>
  <c r="G5" i="5"/>
  <c r="G4" i="5" s="1"/>
  <c r="G18" i="5" s="1"/>
  <c r="H5" i="5"/>
  <c r="E6" i="5"/>
  <c r="E5" i="5" s="1"/>
  <c r="H6" i="5"/>
  <c r="E7" i="5"/>
  <c r="H7" i="5"/>
  <c r="E8" i="5"/>
  <c r="H8" i="5"/>
  <c r="C9" i="5"/>
  <c r="D9" i="5"/>
  <c r="F9" i="5"/>
  <c r="G9" i="5"/>
  <c r="E10" i="5"/>
  <c r="E9" i="5" s="1"/>
  <c r="H10" i="5"/>
  <c r="E11" i="5"/>
  <c r="H11" i="5"/>
  <c r="H9" i="5" s="1"/>
  <c r="E12" i="5"/>
  <c r="H12" i="5"/>
  <c r="E13" i="5"/>
  <c r="H13" i="5"/>
  <c r="C14" i="5"/>
  <c r="D14" i="5"/>
  <c r="F14" i="5"/>
  <c r="G14" i="5"/>
  <c r="E15" i="5"/>
  <c r="E14" i="5" s="1"/>
  <c r="H15" i="5"/>
  <c r="H14" i="5" s="1"/>
  <c r="E16" i="5"/>
  <c r="H16" i="5"/>
  <c r="B16" i="4"/>
  <c r="C16" i="4"/>
  <c r="E5" i="3"/>
  <c r="C6" i="3"/>
  <c r="E6" i="3"/>
  <c r="E8" i="3" s="1"/>
  <c r="E10" i="3" s="1"/>
  <c r="E7" i="3"/>
  <c r="B8" i="3"/>
  <c r="C5" i="3" s="1"/>
  <c r="D8" i="3"/>
  <c r="E9" i="3"/>
  <c r="B10" i="3"/>
  <c r="D10" i="3"/>
  <c r="C5" i="2"/>
  <c r="D5" i="2"/>
  <c r="D10" i="2" s="1"/>
  <c r="F5" i="2"/>
  <c r="C10" i="2"/>
  <c r="C24" i="2"/>
  <c r="D24" i="2"/>
  <c r="D36" i="2"/>
  <c r="C29" i="2" s="1"/>
  <c r="C36" i="2" s="1"/>
  <c r="C6" i="1"/>
  <c r="D6" i="1"/>
  <c r="D45" i="30" l="1"/>
  <c r="C45" i="30"/>
  <c r="C24" i="30"/>
  <c r="D24" i="30"/>
  <c r="C6" i="11"/>
  <c r="C7" i="11"/>
  <c r="C9" i="11"/>
  <c r="C10" i="11" s="1"/>
  <c r="I25" i="34"/>
  <c r="I34" i="34" s="1"/>
  <c r="B37" i="26"/>
  <c r="B14" i="15"/>
  <c r="B8" i="15"/>
  <c r="B7" i="15"/>
  <c r="B18" i="15" s="1"/>
  <c r="C25" i="7"/>
  <c r="C32" i="7"/>
  <c r="F75" i="26"/>
  <c r="I5" i="32"/>
  <c r="I15" i="32" s="1"/>
  <c r="C15" i="32"/>
  <c r="F4" i="33"/>
  <c r="F3" i="33" s="1"/>
  <c r="F23" i="33" s="1"/>
  <c r="C3" i="33"/>
  <c r="C23" i="33" s="1"/>
  <c r="F25" i="35"/>
  <c r="I37" i="32"/>
  <c r="C44" i="32"/>
  <c r="I44" i="32" s="1"/>
  <c r="I8" i="34"/>
  <c r="I7" i="34" s="1"/>
  <c r="D51" i="35"/>
  <c r="D57" i="35" s="1"/>
  <c r="E24" i="35"/>
  <c r="C28" i="33"/>
  <c r="C14" i="15"/>
  <c r="E14" i="15" s="1"/>
  <c r="E15" i="15"/>
  <c r="I32" i="19"/>
  <c r="H5" i="10"/>
  <c r="C9" i="15" s="1"/>
  <c r="B4" i="10"/>
  <c r="F4" i="19"/>
  <c r="F18" i="19" s="1"/>
  <c r="F33" i="19" s="1"/>
  <c r="F69" i="19"/>
  <c r="F31" i="21"/>
  <c r="H3" i="21"/>
  <c r="H16" i="21" s="1"/>
  <c r="H31" i="21" s="1"/>
  <c r="H65" i="21"/>
  <c r="E35" i="15"/>
  <c r="F18" i="16"/>
  <c r="C54" i="19"/>
  <c r="I41" i="19"/>
  <c r="I54" i="19" s="1"/>
  <c r="E4" i="19"/>
  <c r="E18" i="19" s="1"/>
  <c r="E33" i="19" s="1"/>
  <c r="I17" i="21"/>
  <c r="E3" i="21"/>
  <c r="E16" i="21" s="1"/>
  <c r="E31" i="21" s="1"/>
  <c r="B12" i="15"/>
  <c r="I20" i="19"/>
  <c r="D50" i="21"/>
  <c r="I4" i="21"/>
  <c r="H29" i="10"/>
  <c r="B11" i="10" s="1"/>
  <c r="H11" i="10" s="1"/>
  <c r="M10" i="13"/>
  <c r="M11" i="13" s="1"/>
  <c r="C16" i="17"/>
  <c r="C22" i="17" s="1"/>
  <c r="G69" i="19"/>
  <c r="C28" i="19"/>
  <c r="I56" i="19"/>
  <c r="I64" i="19" s="1"/>
  <c r="I29" i="19"/>
  <c r="I19" i="19"/>
  <c r="I28" i="19" s="1"/>
  <c r="I60" i="21"/>
  <c r="G3" i="21"/>
  <c r="G16" i="21" s="1"/>
  <c r="G31" i="21" s="1"/>
  <c r="G65" i="21"/>
  <c r="C3" i="21"/>
  <c r="C65" i="21"/>
  <c r="C26" i="21"/>
  <c r="I26" i="21" s="1"/>
  <c r="D35" i="10"/>
  <c r="G33" i="19"/>
  <c r="D33" i="19"/>
  <c r="F17" i="10"/>
  <c r="M15" i="12"/>
  <c r="M16" i="12" s="1"/>
  <c r="I30" i="21"/>
  <c r="B27" i="10"/>
  <c r="E35" i="10"/>
  <c r="H10" i="10"/>
  <c r="C13" i="15" s="1"/>
  <c r="D7" i="15"/>
  <c r="D18" i="15" s="1"/>
  <c r="H5" i="16"/>
  <c r="H4" i="16" s="1"/>
  <c r="H18" i="16" s="1"/>
  <c r="C4" i="16"/>
  <c r="C18" i="16" s="1"/>
  <c r="E5" i="16"/>
  <c r="E4" i="16" s="1"/>
  <c r="E18" i="16" s="1"/>
  <c r="H69" i="19"/>
  <c r="D69" i="19"/>
  <c r="H4" i="19"/>
  <c r="H18" i="19" s="1"/>
  <c r="H33" i="19" s="1"/>
  <c r="I27" i="21"/>
  <c r="I9" i="21"/>
  <c r="D12" i="2"/>
  <c r="E4" i="5"/>
  <c r="E18" i="5" s="1"/>
  <c r="E20" i="5" s="1"/>
  <c r="E42" i="6"/>
  <c r="E45" i="6" s="1"/>
  <c r="H4" i="5"/>
  <c r="H18" i="5" s="1"/>
  <c r="H20" i="5" s="1"/>
  <c r="C17" i="7"/>
  <c r="C12" i="2"/>
  <c r="C9" i="3"/>
  <c r="C7" i="3"/>
  <c r="C8" i="3" s="1"/>
  <c r="C10" i="3" s="1"/>
  <c r="F28" i="33" l="1"/>
  <c r="F27" i="33" s="1"/>
  <c r="F47" i="33" s="1"/>
  <c r="C27" i="33"/>
  <c r="C47" i="33" s="1"/>
  <c r="I69" i="19"/>
  <c r="C4" i="19"/>
  <c r="C69" i="19"/>
  <c r="H27" i="10"/>
  <c r="B35" i="10"/>
  <c r="H35" i="10" s="1"/>
  <c r="H37" i="10" s="1"/>
  <c r="C12" i="15"/>
  <c r="E12" i="15" s="1"/>
  <c r="E13" i="15"/>
  <c r="D3" i="21"/>
  <c r="D16" i="21" s="1"/>
  <c r="D31" i="21" s="1"/>
  <c r="D65" i="21"/>
  <c r="I50" i="21"/>
  <c r="H4" i="10"/>
  <c r="C16" i="21"/>
  <c r="I3" i="21"/>
  <c r="B9" i="10"/>
  <c r="H9" i="10" s="1"/>
  <c r="C8" i="15"/>
  <c r="E8" i="15" s="1"/>
  <c r="E9" i="15"/>
  <c r="I16" i="21" l="1"/>
  <c r="C31" i="21"/>
  <c r="B17" i="10"/>
  <c r="H17" i="10" s="1"/>
  <c r="H19" i="10" s="1"/>
  <c r="I65" i="21"/>
  <c r="E7" i="15"/>
  <c r="E18" i="15" s="1"/>
  <c r="C18" i="19"/>
  <c r="C33" i="19" s="1"/>
  <c r="I4" i="19"/>
  <c r="I18" i="19" s="1"/>
  <c r="I33" i="19" s="1"/>
  <c r="I31" i="21" l="1"/>
</calcChain>
</file>

<file path=xl/sharedStrings.xml><?xml version="1.0" encoding="utf-8"?>
<sst xmlns="http://schemas.openxmlformats.org/spreadsheetml/2006/main" count="1655" uniqueCount="689">
  <si>
    <t>Kasa, operacje z bankiem centralnym, razem (Nota 43)</t>
  </si>
  <si>
    <t>Lokaty terminowe</t>
  </si>
  <si>
    <t>Środki pieniężne w rachunku bieżącym</t>
  </si>
  <si>
    <t>Środki pieniężne w kasie (skarbcu)</t>
  </si>
  <si>
    <t>31.12.2015</t>
  </si>
  <si>
    <t>31.12.2016</t>
  </si>
  <si>
    <t>Stan rezerw na należności od banków na koniec okresu</t>
  </si>
  <si>
    <t>Pozostałe</t>
  </si>
  <si>
    <t>Należności spisane w ciężar rezerw</t>
  </si>
  <si>
    <t>Różnice kursowe</t>
  </si>
  <si>
    <t>Reklasyfikacja rezerw</t>
  </si>
  <si>
    <t xml:space="preserve">Rozwiązanie rezerw (Nota 13) </t>
  </si>
  <si>
    <t>Utworzenie rezerw (Nota 13)</t>
  </si>
  <si>
    <t>Stan rezerw na należności od banków na początek okresu</t>
  </si>
  <si>
    <t>Należności (netto) od banków, razem</t>
  </si>
  <si>
    <t>Rezerwa utworzona na należności od banków zagranicznych</t>
  </si>
  <si>
    <t>Należności (brutto) od banków zagranicznych</t>
  </si>
  <si>
    <t>Rezerwa utworzona na należności od banków polskich</t>
  </si>
  <si>
    <t>Należności (brutto) od banków polskich</t>
  </si>
  <si>
    <t>Długoterminowe (powyżej 1 roku)</t>
  </si>
  <si>
    <t>Krótkoterminowe (do 1 roku)</t>
  </si>
  <si>
    <t xml:space="preserve">Rezerwa utworzona na należności od banków (wielkość ujemna) </t>
  </si>
  <si>
    <t>Należności (brutto) od banków, razem</t>
  </si>
  <si>
    <t>Inne należności</t>
  </si>
  <si>
    <t>Transakcje reverse repo / buy sell back</t>
  </si>
  <si>
    <t>Lokaty terminowe w innych bankach</t>
  </si>
  <si>
    <t>Kredyty i pożyczki</t>
  </si>
  <si>
    <t>Ujęte w ekwiwalentach środków pieniężnych (Nota 43)</t>
  </si>
  <si>
    <t>Lokaty w innych bankach do 3-ech miesięcy</t>
  </si>
  <si>
    <t>Rachunki bieżące</t>
  </si>
  <si>
    <t>Razem netto</t>
  </si>
  <si>
    <t>Rezerwa (na pozycje z rozpoznaną utratą wartości oraz rezerwa IBNI)</t>
  </si>
  <si>
    <t>Razem brutto</t>
  </si>
  <si>
    <t>Pozycje z rozpoznaną utratą wartości</t>
  </si>
  <si>
    <t>Przeterminowane, bez utraty wartości</t>
  </si>
  <si>
    <t xml:space="preserve">Nieprzeterminowane, bez utraty wartości </t>
  </si>
  <si>
    <t>udział/ pokrycie (%)</t>
  </si>
  <si>
    <t>zaangażowanie (tys. zł)</t>
  </si>
  <si>
    <t>Należności od banków</t>
  </si>
  <si>
    <t>Razem</t>
  </si>
  <si>
    <t>kategoria default</t>
  </si>
  <si>
    <t>pozostałe*</t>
  </si>
  <si>
    <t>Pod-portfel</t>
  </si>
  <si>
    <t>Należności bez utraty wartości</t>
  </si>
  <si>
    <t>`</t>
  </si>
  <si>
    <t>Dłużne i kapitałowe papiery wartościowe razem:</t>
  </si>
  <si>
    <t>- nie notowane</t>
  </si>
  <si>
    <t>- notowane</t>
  </si>
  <si>
    <t>Kapitałowe papiery wartościowe:</t>
  </si>
  <si>
    <t>- obligacje komunalne</t>
  </si>
  <si>
    <t>- obligacje korporacyjne</t>
  </si>
  <si>
    <t xml:space="preserve">- certyfikaty depozytowe </t>
  </si>
  <si>
    <t>- obligacje banków</t>
  </si>
  <si>
    <t>Pozostałe dłużne papiery wartościowe</t>
  </si>
  <si>
    <t>Emitowane przez bank centralny</t>
  </si>
  <si>
    <t>- bony skarbowe</t>
  </si>
  <si>
    <t>- obligacje rządowe</t>
  </si>
  <si>
    <t xml:space="preserve">Emitowane przez rząd </t>
  </si>
  <si>
    <t>Dłużne papiery wartościowe:</t>
  </si>
  <si>
    <t>Razem papiery wartościowe przeznaczone do obrotu</t>
  </si>
  <si>
    <t>Papiery wartościowe, na których ustanowiono zabezpieczenia</t>
  </si>
  <si>
    <t>Papiery wartościowe, na których nie ustanowiono zabezpieczeń</t>
  </si>
  <si>
    <t>Razem rozpoznane pochodne aktywa/zobowiązania oraz inne zobowiązania finasowe przeznaczone do obrotu</t>
  </si>
  <si>
    <t>Efekt kompensowania</t>
  </si>
  <si>
    <t>Razem rozpoznane pochodne aktywa/zobowiązania</t>
  </si>
  <si>
    <t>Razem instrumenty pochodne zabezpieczające</t>
  </si>
  <si>
    <t>- Nabyte w obrocie giełdowym opcje walutowe</t>
  </si>
  <si>
    <t>- Kontrakty IRS</t>
  </si>
  <si>
    <t>Instrumenty pochodne wyznaczone jako zabezpieczenie przepływów pieniężnych</t>
  </si>
  <si>
    <t>- FX forward</t>
  </si>
  <si>
    <t>- Kontrakty CIRS</t>
  </si>
  <si>
    <t>- Walutowe kontrakty futures</t>
  </si>
  <si>
    <t>Instrumenty pochodne wyznaczone jako zabezpieczenie wartości godziwej</t>
  </si>
  <si>
    <t>Instrumenty pochodne zabezpieczające</t>
  </si>
  <si>
    <t>Razem pochodne aktywa/zobowiązania przeznaczone do obrotu</t>
  </si>
  <si>
    <t xml:space="preserve">Transakcje na ryzyko rynkowe </t>
  </si>
  <si>
    <t xml:space="preserve">Razem instrumenty pochodne na stopę procentową </t>
  </si>
  <si>
    <t>- Opcje na stopę procentową w obrocie giełdowym</t>
  </si>
  <si>
    <t>- Kontrakty futures na stopę procentową</t>
  </si>
  <si>
    <t xml:space="preserve">Razem instrumenty pochodne na stopę procentową z transakcji pozagiełdowych </t>
  </si>
  <si>
    <t>- Pozostałe pozagiełdowe instrumenty pochodne na stopę procentową</t>
  </si>
  <si>
    <t>- Opcje na stopę procentową kupione lub sprzedane w obrocie pozagiełdowym</t>
  </si>
  <si>
    <t>- Kontrakty FRA</t>
  </si>
  <si>
    <t>- Kontrakty IRS, OIS</t>
  </si>
  <si>
    <t>Pochodne na stopę procentową</t>
  </si>
  <si>
    <t xml:space="preserve">Razem walutowe instrumenty pochodne </t>
  </si>
  <si>
    <t>- Warranty sprzedane w obrocie giełdowym</t>
  </si>
  <si>
    <t>- Opcje walutowe kupione lub sprzedane w obrocie giełdowym</t>
  </si>
  <si>
    <t xml:space="preserve">- Walutowe kontrakty futures </t>
  </si>
  <si>
    <t xml:space="preserve">Razem instrumenty pochodne z transakcji pozagiełdowych </t>
  </si>
  <si>
    <t>- Opcje walutowe kupione lub sprzedane w obrocie pozagiełdowym</t>
  </si>
  <si>
    <t>- Kontrakty FX swap</t>
  </si>
  <si>
    <t>- Walutowe transakcje terminowe (FX forward)</t>
  </si>
  <si>
    <t>Walutowe instrumenty pochodne</t>
  </si>
  <si>
    <t>Pochodne instrumenty finansowe przeznaczone do obrotu</t>
  </si>
  <si>
    <t>Stan na 31 grudnia 2015</t>
  </si>
  <si>
    <t>zobowiązania</t>
  </si>
  <si>
    <t>aktywa</t>
  </si>
  <si>
    <t>sprzedaż</t>
  </si>
  <si>
    <t>kupno</t>
  </si>
  <si>
    <t xml:space="preserve">Wartość godziwa </t>
  </si>
  <si>
    <t>Wartość kontraktu</t>
  </si>
  <si>
    <t>Stan na 31 grudnia 2016</t>
  </si>
  <si>
    <t>Łączny wynik na rachunkowości zabezpieczeń przepływów pieniężnych ujęty w rachunku zysków i strat</t>
  </si>
  <si>
    <t>Nieefektywna część rachunkowości zabezpieczeń przepływów pieniężnych (Nota 9)</t>
  </si>
  <si>
    <t>Przychody odsetkowe na instrumentach pochodnych w ramach rachunkowości zabezpieczeń przepływów pieniężnych (Nota 6)</t>
  </si>
  <si>
    <t>,</t>
  </si>
  <si>
    <t>Rok kończący się 31 grudnia</t>
  </si>
  <si>
    <t>Łączny wynik na rachunkowości zabezpieczeń wartości godziwej ujęty w rachunku zysków i strat</t>
  </si>
  <si>
    <t>Wynik z wyceny instrumentów zabezpieczających wartość godziwą (Nota 9)</t>
  </si>
  <si>
    <t>Wynik z wyceny pozycji zabezpieczanych (Nota 9)</t>
  </si>
  <si>
    <t>Przychody odsetkowe na instrumentach pochodnych w ramach rachunkowości zabezpieczeń wartości godziwej (Nota 6)</t>
  </si>
  <si>
    <t>Wpływ w okresie sprawozdawczym na dochody całkowite brutto</t>
  </si>
  <si>
    <t xml:space="preserve"> - nieefektywna część zabezpieczenia ujęta w rachunku zysków i strat w wyniku na pozostałej działalności handlowej</t>
  </si>
  <si>
    <t xml:space="preserve"> - kwota ujęta w okresie sprawozdawczym w przychodach z tytułu odsetek w rachunku zysków i strat</t>
  </si>
  <si>
    <t xml:space="preserve"> - niezrealizowane zyski/straty ujęte w pozostałych dochodach całkowitych brutto </t>
  </si>
  <si>
    <t>Zyski/straty odniesione na dochody całkowite brutto w okresie sprawozdawczym, w tym:</t>
  </si>
  <si>
    <t>Wpływ w okresie sprawozdawczym na pozostałe dochody całkowite (netto)</t>
  </si>
  <si>
    <t>Podatek odroczony z tytułu zabezpieczenia przepływów pieniężnych</t>
  </si>
  <si>
    <t>Wpływ w okresie sprawozdawczym na pozostałe dochody całkowite (brutto)</t>
  </si>
  <si>
    <t>Skumulowane pozostałe dochody całkowite netto na koniec okresu sprawozdawczego</t>
  </si>
  <si>
    <t>Podatek odroczony z tytułu skumulowanych pozostałych dochodów całkowitych na koniec okresu sprawozdawczego</t>
  </si>
  <si>
    <t>Skumulowane pozostałe dochody całkowite brutto na koniec okresu sprawozdawczego</t>
  </si>
  <si>
    <t xml:space="preserve"> - niezrealizowane zyski/straty ujęte w pozostałych dochodach całkowitych brutto w okresie sprawozdawczym</t>
  </si>
  <si>
    <t>Pozostałe dochody całkowite brutto z tytułu zabezpieczenia przepływów pieniężnych na początek okresu</t>
  </si>
  <si>
    <t>okres od 1 roku do 5 lat</t>
  </si>
  <si>
    <t>okres od 3 miesięcy do 1 roku</t>
  </si>
  <si>
    <t>okres  do 3 miesięcy</t>
  </si>
  <si>
    <t>Przepływy pieniężne z kedytów zabezpieczonych w ramach rachunkowości zabezpieczeń przepływów pieniężnych (w tys. zł)</t>
  </si>
  <si>
    <t>Niegwarantowane wartości końcowe przypadające leasingodawcy</t>
  </si>
  <si>
    <t>Wartość bilansowa netto należności z tytułu leasingu finansowego</t>
  </si>
  <si>
    <t>Wartość odpisów z tytułu utraty wartości należności z tytułu leasingu finansowego</t>
  </si>
  <si>
    <t xml:space="preserve">Inwestycja leasingowa netto z tytułu leasingu finansowego </t>
  </si>
  <si>
    <t>- Powyżej 5 lat</t>
  </si>
  <si>
    <t>- Powyżej 1 roku i nie więcej niż 5 lat</t>
  </si>
  <si>
    <t>- Do 1 roku</t>
  </si>
  <si>
    <t>Inwestycja leasingowa netto z tytułu leasingu finansowego o terminie zapadalności:</t>
  </si>
  <si>
    <t>Inwestycja leasingowa netto z tytułu leasingu finansowego</t>
  </si>
  <si>
    <t>Niezrealizowane przyszłe przychody finansowe z tytułu leasingu finansowego (wielkość ujemna)</t>
  </si>
  <si>
    <t>Inwestycja leasingowa brutto z tytułu leasingu finansowego o terminie zapadalności:</t>
  </si>
  <si>
    <t>Zaangażowanie bilansowe netto</t>
  </si>
  <si>
    <t>Rezerwy na należności, które utraciły wartość</t>
  </si>
  <si>
    <t>Zaangażowanie bilansowe brutto</t>
  </si>
  <si>
    <t>Należności, które utraciły wartość</t>
  </si>
  <si>
    <t>Rezerwy na utratę wartości ekspozycji analizowanych portfelowo (IBNI)</t>
  </si>
  <si>
    <t>Poniesione, ale nie zidentyfikowane straty</t>
  </si>
  <si>
    <t>Kredyty i pożyczki (netto) od klientów</t>
  </si>
  <si>
    <t xml:space="preserve">Rezerwa utworzona na należności od klientów (wielkość ujemna) </t>
  </si>
  <si>
    <t>Kredyty i pożyczki (brutto) od klientów</t>
  </si>
  <si>
    <t>Kredyty i pożyczki udzielone sektorowi budżetowemu</t>
  </si>
  <si>
    <t xml:space="preserve">- pozostałe </t>
  </si>
  <si>
    <t>- transakcje reverse repo / buy sell back</t>
  </si>
  <si>
    <t xml:space="preserve">    - udzielone średnim i małym klientom</t>
  </si>
  <si>
    <t xml:space="preserve">    - udzielone dużym klientom</t>
  </si>
  <si>
    <t>- kredyty terminowe:</t>
  </si>
  <si>
    <t>- należności bieżące</t>
  </si>
  <si>
    <t>Kredyty i pożyczki udzielone klientom korporacyjnym:</t>
  </si>
  <si>
    <t>- pozostałe</t>
  </si>
  <si>
    <t xml:space="preserve">    - kredyty hipoteczne i mieszkaniowe</t>
  </si>
  <si>
    <t>- kredyty terminowe, w tym:</t>
  </si>
  <si>
    <t>Kredyty i pożyczki udzielone klientom indywidualnym:</t>
  </si>
  <si>
    <t>OGÓŁEM ZMIANA STANU REZERW NA KREDYTY I POŻYCZKI UDZIELONE KLIENTOM</t>
  </si>
  <si>
    <t>KLIENCI BUDŻETOWI</t>
  </si>
  <si>
    <t>Przeniesienie do aktywów trwałych przeznaczonych do sprzedaży</t>
  </si>
  <si>
    <t>Kredyty terminowe udzielone średnim i małym klientom</t>
  </si>
  <si>
    <t>Kredyty terminowe udzielone dużym klientom</t>
  </si>
  <si>
    <t>Kredyty terminowe, w tym:</t>
  </si>
  <si>
    <t>Należności bieżące</t>
  </si>
  <si>
    <t>KLIENCI KORPORACYJNI</t>
  </si>
  <si>
    <t>Kredyty hipoteczne i mieszkaniowe</t>
  </si>
  <si>
    <t>KLIENCI INDYWIDUALNI</t>
  </si>
  <si>
    <t>Stan rezerw na 31.12.2015</t>
  </si>
  <si>
    <t>Pozostałe*</t>
  </si>
  <si>
    <t>Reklasyfikacja i różnice kursowe</t>
  </si>
  <si>
    <t>Rozwiązanie rezerw</t>
  </si>
  <si>
    <t>Utworzenie rezerw</t>
  </si>
  <si>
    <t>Stan rezerw na 01.01.2015</t>
  </si>
  <si>
    <t>ZMIANA STANU REZERW NA KREDYTY I POŻYCZKI UDZIELONE KLIENTOM - ROK 2015</t>
  </si>
  <si>
    <t>Stan rezerw na 31.12.2016</t>
  </si>
  <si>
    <t>Stan rezerw na 01.01.2016</t>
  </si>
  <si>
    <t>ZMIANA STANU REZERW NA KREDYTY I POŻYCZKI UDZIELONE KLIENTOM - ROK 2016</t>
  </si>
  <si>
    <t>Kredyty i pożyczki udzielone klientom</t>
  </si>
  <si>
    <t>*)  pozostałe dotyczą spółek, które nie stosują systemów analogicznych jak mBank</t>
  </si>
  <si>
    <r>
      <t xml:space="preserve">kategoria </t>
    </r>
    <r>
      <rPr>
        <i/>
        <sz val="8"/>
        <rFont val="Verdana"/>
        <family val="2"/>
        <charset val="238"/>
      </rPr>
      <t>default</t>
    </r>
  </si>
  <si>
    <t>pozostałe *)</t>
  </si>
  <si>
    <t>udzielone średnim i małym klientom</t>
  </si>
  <si>
    <t>udzielone dużym klientom</t>
  </si>
  <si>
    <t>kredyty mieszkaniowe i hipoteczne</t>
  </si>
  <si>
    <t>Transakcje reverse repo/ buy sell back</t>
  </si>
  <si>
    <t>Kredyty terminowe</t>
  </si>
  <si>
    <t>w tym:</t>
  </si>
  <si>
    <t>Razem klienci</t>
  </si>
  <si>
    <t>Klienci budżetowi</t>
  </si>
  <si>
    <t>Klienci korporacyjni</t>
  </si>
  <si>
    <t>Klienci indywidualni</t>
  </si>
  <si>
    <t>31 grudnia 2015 r.</t>
  </si>
  <si>
    <r>
      <t xml:space="preserve">kategoria </t>
    </r>
    <r>
      <rPr>
        <i/>
        <sz val="8"/>
        <color rgb="FF201C17"/>
        <rFont val="Verdana"/>
        <family val="2"/>
        <charset val="238"/>
      </rPr>
      <t>default</t>
    </r>
  </si>
  <si>
    <t>31 grudnia 2016 r.</t>
  </si>
  <si>
    <t xml:space="preserve">Kredyty i pożyczki nieprzeterminowane, bez utraty wartości </t>
  </si>
  <si>
    <t>powyżej 90 dni</t>
  </si>
  <si>
    <t>od 61 do 90 dni</t>
  </si>
  <si>
    <t>od 31 do 60 dni</t>
  </si>
  <si>
    <t>do 30 dni</t>
  </si>
  <si>
    <t xml:space="preserve">Kredyty i pożyczki przeterminowane, bez rozpoznanej utraty wartości </t>
  </si>
  <si>
    <t xml:space="preserve"> </t>
  </si>
  <si>
    <t>Rezerwy na kredyty i pożyczki z utratą wartości</t>
  </si>
  <si>
    <t>Kredyty i pożyczki z utratą wartości</t>
  </si>
  <si>
    <t>Banki</t>
  </si>
  <si>
    <t>Kredyty i pożyczki, dla których rozpoznano indywidualnie utratę wartości</t>
  </si>
  <si>
    <t>Razem dane pozabilansowe</t>
  </si>
  <si>
    <t>Gwarancje, akcepty bankowe i akredytywy</t>
  </si>
  <si>
    <t>Zobowiązania do udzielenia kredytów oraz pozostałe udzielone zobowiązania finansowe</t>
  </si>
  <si>
    <t>Dane pozabilansowe</t>
  </si>
  <si>
    <t>Razem dane bilansowe</t>
  </si>
  <si>
    <t xml:space="preserve">      udzielone średnim i małym klientom </t>
  </si>
  <si>
    <t xml:space="preserve">      udzielone dużym klientom </t>
  </si>
  <si>
    <r>
      <t xml:space="preserve">− </t>
    </r>
    <r>
      <rPr>
        <sz val="8"/>
        <color indexed="63"/>
        <rFont val="Verdana"/>
        <family val="2"/>
        <charset val="238"/>
      </rPr>
      <t>Kredyty terminowe:</t>
    </r>
  </si>
  <si>
    <t>− Należności bieżące</t>
  </si>
  <si>
    <t>Klienci korporacyjni:</t>
  </si>
  <si>
    <r>
      <t xml:space="preserve">      k</t>
    </r>
    <r>
      <rPr>
        <sz val="8"/>
        <color indexed="63"/>
        <rFont val="Verdana"/>
        <family val="2"/>
        <charset val="238"/>
      </rPr>
      <t>redyty hipoteczne i mieszkaniowe</t>
    </r>
  </si>
  <si>
    <r>
      <t xml:space="preserve">− </t>
    </r>
    <r>
      <rPr>
        <sz val="8"/>
        <color indexed="63"/>
        <rFont val="Verdana"/>
        <family val="2"/>
        <charset val="238"/>
      </rPr>
      <t>Kredyty terminowe, w tym:</t>
    </r>
  </si>
  <si>
    <t>Klienci indywidualni:</t>
  </si>
  <si>
    <t>Kredyty i pożyczki udzielone klientom, w tym:</t>
  </si>
  <si>
    <t>Dane bilansowe</t>
  </si>
  <si>
    <t>Finansowy efekt zabezpieczeń</t>
  </si>
  <si>
    <t>Rezerwa bez uwzgędnienia przepływów z zabezpieczeń</t>
  </si>
  <si>
    <t>Rezerwa utworzona</t>
  </si>
  <si>
    <t>Wartrość brutto</t>
  </si>
  <si>
    <t>Stan na 31 grudnia 2015 roku</t>
  </si>
  <si>
    <t>Stan na 31 grudnia 2016 roku</t>
  </si>
  <si>
    <t>Maksymalna ekspozycja na ryzyko kredytowe – finansowy efekt zabezpieczeń</t>
  </si>
  <si>
    <t>Dłużne i kapitałowe papiery wartościowe razem</t>
  </si>
  <si>
    <t>Nie notowane</t>
  </si>
  <si>
    <t>Notowane</t>
  </si>
  <si>
    <t>Razem inwestycyjne papiery wartościowe</t>
  </si>
  <si>
    <t>Inwestycyjne papiery wartościowe, na których ustanowiono zabezpieczenia</t>
  </si>
  <si>
    <t>Inwestycyjne papiery wartościowe, na których nie ustanowiono zabezpieczeń</t>
  </si>
  <si>
    <t>Stan na koniec okresu</t>
  </si>
  <si>
    <t>Zmiana zakresu konsolidacji</t>
  </si>
  <si>
    <t>Reklasyfikacja</t>
  </si>
  <si>
    <t>Kwoty odzyskane w czasie okresu sprawozdawczego</t>
  </si>
  <si>
    <t>Kwoty spisane w ciężar rezerw</t>
  </si>
  <si>
    <t>Utworzenie rezerwy</t>
  </si>
  <si>
    <t>Stan na początek okresu</t>
  </si>
  <si>
    <t xml:space="preserve">Rezerwy na inwestycyjne papiery wartościowe razem </t>
  </si>
  <si>
    <t>- Nie notowane</t>
  </si>
  <si>
    <t>- Notowane</t>
  </si>
  <si>
    <t>Rezerwy na kapitałowe papiery wartościowe</t>
  </si>
  <si>
    <t>Dłużne papiery wartościowe</t>
  </si>
  <si>
    <t>Rezerwy na utratę wartości papierów wartościowych dostępnych do sprzedaży i aktywów zastawionych</t>
  </si>
  <si>
    <t xml:space="preserve">Zyski/straty z tytułu zmian wartości godziwej </t>
  </si>
  <si>
    <t>Straty z tytułu utraty wartości inwestycyjnych kapitałowych i dłużnych papierów wartościowych</t>
  </si>
  <si>
    <t>Zmniejszenia (sprzedaż, wykup, umorzenie)</t>
  </si>
  <si>
    <t>Zwiększenia</t>
  </si>
  <si>
    <t xml:space="preserve">Różnice kursowe </t>
  </si>
  <si>
    <t xml:space="preserve">Inwestycyjne papiery wartościowe </t>
  </si>
  <si>
    <t>Wynik na inwestycyjnych papierach wartościowych oraz inwestycjach w jednostki zależne i stowarzyszone, razem</t>
  </si>
  <si>
    <t>Utrata wartości inwestycji w jednostkach stowarzyszonych</t>
  </si>
  <si>
    <t>Utrata wartości inwestycji w jednostkach zależnych</t>
  </si>
  <si>
    <t>Utrata wartości dłużnych papierów wartościowych dostępnych do sprzedaży</t>
  </si>
  <si>
    <t xml:space="preserve">Utrata wartości inwestycyjnych kapitałowych papierów wartościowych </t>
  </si>
  <si>
    <t>Wynik związany ze sprzedażą jednostek zależnych i stowarzyszonych</t>
  </si>
  <si>
    <t xml:space="preserve">Sprzedaż / wykup przez emitenta aktywów finansowych dostępnych do sprzedaży </t>
  </si>
  <si>
    <t>Wartości niematerialne, razem</t>
  </si>
  <si>
    <t xml:space="preserve">Wartości niematerialne w toku wytwarzania </t>
  </si>
  <si>
    <t xml:space="preserve">Inne wartości niematerialne </t>
  </si>
  <si>
    <t>- oprogramowanie komputerowe</t>
  </si>
  <si>
    <t>Patenty, licencje i podobne wartości, w tym:</t>
  </si>
  <si>
    <t>Wartość firmy</t>
  </si>
  <si>
    <t>Koszty zakończonych prac rozwojowych</t>
  </si>
  <si>
    <t>Wartość netto wartości niematerialnych na koniec okresu: 31.12.2015 r.</t>
  </si>
  <si>
    <t>Odpisy z tytułu utraty wartości na koniec okresu: 31.12.2015 r.</t>
  </si>
  <si>
    <t>- zmniejszenie</t>
  </si>
  <si>
    <t>- zwiększenie</t>
  </si>
  <si>
    <t>Odpisy z tytułu utraty wartości na początek okresu: 01.01.2015 r.</t>
  </si>
  <si>
    <t>Skumulowana amortyzacja (umorzenie) na koniec okresu: 31.12.2015 r.</t>
  </si>
  <si>
    <t>- innych zmniejszeń</t>
  </si>
  <si>
    <t xml:space="preserve">- aktywa trwałe przeznaczone do sprzedaży </t>
  </si>
  <si>
    <t>- likwidacji</t>
  </si>
  <si>
    <t>- sprzedaży</t>
  </si>
  <si>
    <t>- innych zwiększeń</t>
  </si>
  <si>
    <t>- odpisów</t>
  </si>
  <si>
    <t>Amortyzacja za okres z tytułu</t>
  </si>
  <si>
    <t>Skumulowana amortyzacja (umorzenie) na początek okresu: 01.01.2015 r.</t>
  </si>
  <si>
    <t>Wartość brutto wartości niematerialnych na koniec okresu: 31.12.2015 r.</t>
  </si>
  <si>
    <t>- przekazania na wartości niematerialne oddane do użytku</t>
  </si>
  <si>
    <t>Zmniejszenia z tytułu</t>
  </si>
  <si>
    <t>- poniesionych kosztów wytworzenia</t>
  </si>
  <si>
    <t>- przejęcia z wartości niematerialnych w toku wytwarzania</t>
  </si>
  <si>
    <t>- przejęcia ze środków trwałych w budowie</t>
  </si>
  <si>
    <t>- zakupu</t>
  </si>
  <si>
    <t>Zwiększenia z tytułu</t>
  </si>
  <si>
    <t xml:space="preserve">Wartość brutto wartości niematerialnych na początek okresu: 01.01.2015 r.             </t>
  </si>
  <si>
    <t>nabyte oprogramowanie komputerowe</t>
  </si>
  <si>
    <t xml:space="preserve">
Wartości niematerialne razem</t>
  </si>
  <si>
    <t xml:space="preserve">
Wartość firmy </t>
  </si>
  <si>
    <t xml:space="preserve">
Wartości niematerialne w toku wytwarzania</t>
  </si>
  <si>
    <t xml:space="preserve">
Inne wartości niematerialne</t>
  </si>
  <si>
    <t xml:space="preserve">
Nabyte patenty, licencje i podobne wartości, w tym:</t>
  </si>
  <si>
    <t xml:space="preserve">
Koszty zakończonych prac rozwojowych</t>
  </si>
  <si>
    <t xml:space="preserve">
Zmiana stanu w okresie od 01.01.2015 roku do 31.12.2015 roku</t>
  </si>
  <si>
    <t>Wartość netto wartości niematerialnych na koniec okresu: 31.12.2016 r.</t>
  </si>
  <si>
    <t>Odpisy z tytułu utraty wartości na koniec okresu: 31.12.2016 r.</t>
  </si>
  <si>
    <t>Odpisy z tytułu utraty wartości na początek okresu: 01.01.2016 r.</t>
  </si>
  <si>
    <t>Skumulowana amortyzacja (umorzenie) na koniec okresu: 31.12.2016 r.</t>
  </si>
  <si>
    <t>Skumulowana amortyzacja (umorzenie) na początek okresu: 01.01.2016 r.</t>
  </si>
  <si>
    <t>Wartość brutto wartości niematerialnych na koniec okresu: 31.12.2016 r.</t>
  </si>
  <si>
    <t xml:space="preserve">Wartość brutto wartości niematerialnych na początek okresu: 01.01.2016 r.             </t>
  </si>
  <si>
    <t xml:space="preserve">
Zmiana stanu w okresie od 01.01.2016 roku do 31.12.2016 roku</t>
  </si>
  <si>
    <t>Rzeczowe aktywa trwałe, razem</t>
  </si>
  <si>
    <t>Środki trwałe w budowie</t>
  </si>
  <si>
    <t>- pozostałe środki trwałe</t>
  </si>
  <si>
    <t>- środki transportu</t>
  </si>
  <si>
    <t xml:space="preserve">- urządzenia </t>
  </si>
  <si>
    <t>- budynki, lokale i obiekty inżynierii lądowej i wodnej</t>
  </si>
  <si>
    <t xml:space="preserve">- grunty </t>
  </si>
  <si>
    <t>Środki trwałe, w tym:</t>
  </si>
  <si>
    <t>Wartość netto rzeczowych aktywów trwałych na koniec okresu: 31.12.2015 r.</t>
  </si>
  <si>
    <t xml:space="preserve">- innych zmniejszeń </t>
  </si>
  <si>
    <t xml:space="preserve">- innych zwiększeń </t>
  </si>
  <si>
    <t>Wartość brutto rzeczowych aktywów trwałych na koniec okresu: 31.12.2015 r.</t>
  </si>
  <si>
    <t>- przekazania na wartości niematerialne</t>
  </si>
  <si>
    <t>- przekazania na środki trwałe</t>
  </si>
  <si>
    <t xml:space="preserve">- sprzedaży </t>
  </si>
  <si>
    <t xml:space="preserve">- zakupu </t>
  </si>
  <si>
    <t xml:space="preserve">Wartość brutto rzeczowych aktywów trwałych na początek okresu: 01.01.2015 r.                  </t>
  </si>
  <si>
    <t xml:space="preserve">
Razem</t>
  </si>
  <si>
    <t xml:space="preserve">
Środki trwałe w budowie </t>
  </si>
  <si>
    <t xml:space="preserve">
Pozostałe środki trwałe                     </t>
  </si>
  <si>
    <t xml:space="preserve">
Środki transportu  </t>
  </si>
  <si>
    <t xml:space="preserve">
Urządzenia                </t>
  </si>
  <si>
    <t xml:space="preserve">
Budynki, lokale i obiekty inżynierii lądowej i wodnej             </t>
  </si>
  <si>
    <t xml:space="preserve">
Grunty        </t>
  </si>
  <si>
    <t>Wartość netto rzeczowych aktywów trwałych na koniec okresu: 31.12.2016 r.</t>
  </si>
  <si>
    <t>Wartość brutto rzeczowych aktywów trwałych na koniec okresu: 31.12.2016 r.</t>
  </si>
  <si>
    <t xml:space="preserve">Wartość brutto rzeczowych aktywów trwałych na początek okresu: 01.01.2016 r.                  </t>
  </si>
  <si>
    <t>Powyżej 5 lat</t>
  </si>
  <si>
    <t>Powyżej 1 roku do 5 lat</t>
  </si>
  <si>
    <t>Do 1 roku</t>
  </si>
  <si>
    <t>Minimalne opłaty leasingowe z tytułu nieodwołalnego leasingu operacyjnego</t>
  </si>
  <si>
    <t xml:space="preserve">Pozostałe aktywa finansowe netto </t>
  </si>
  <si>
    <t>- rezerwy na należności przeterminowane (wielkość ujemna)</t>
  </si>
  <si>
    <t>- przeterminowe powyżej 90 dni</t>
  </si>
  <si>
    <t>- przeterminowe od 1 do 90 dni</t>
  </si>
  <si>
    <t>- nieprzeterminowe</t>
  </si>
  <si>
    <t>Pozostałe aktywa finansowe brutto, w tym:</t>
  </si>
  <si>
    <t>Inne aktywa, razem</t>
  </si>
  <si>
    <t>- inne</t>
  </si>
  <si>
    <t>- zapasy</t>
  </si>
  <si>
    <t>- przychody do otrzymania</t>
  </si>
  <si>
    <t>- pozostałe rozliczenia międzyokresowe czynne</t>
  </si>
  <si>
    <t>- rozrachunki międzybankowe</t>
  </si>
  <si>
    <t>- dłużnicy</t>
  </si>
  <si>
    <t>Inne aktywa, w tym:</t>
  </si>
  <si>
    <t>- nieruchomości</t>
  </si>
  <si>
    <t xml:space="preserve">- środki trwałe </t>
  </si>
  <si>
    <t>jak będzie "0" to usunąć :</t>
  </si>
  <si>
    <t>Przejęte aktywa do zbycia</t>
  </si>
  <si>
    <t xml:space="preserve">Zobowiązania wobec innych banków, razem </t>
  </si>
  <si>
    <t>Zobowiązania w drodze</t>
  </si>
  <si>
    <t>Zobowiązania z tytułu zabezpieczeń pieniężnych</t>
  </si>
  <si>
    <t>Transakcje repo / sell buy back</t>
  </si>
  <si>
    <t>Kredyty i pożyczki otrzymane</t>
  </si>
  <si>
    <t>Depozyty terminowe</t>
  </si>
  <si>
    <t>Środki na rachunkach bieżących</t>
  </si>
  <si>
    <t xml:space="preserve">Zobowiązania wobec klientów, razem </t>
  </si>
  <si>
    <t>- zobowiązania z tytułu zabezpieczeń pieniężnych</t>
  </si>
  <si>
    <t>Inne zobowiązania (z tytułu)</t>
  </si>
  <si>
    <t>Transakcje repo</t>
  </si>
  <si>
    <t>Klienci sektora budżetowego:</t>
  </si>
  <si>
    <t>Stan zobowiązań z tytułu emisji dłużnych papierów wartościowych (wartość bilansowa w tys. zł)</t>
  </si>
  <si>
    <t>30-05-2029</t>
  </si>
  <si>
    <t>Hipoteczny rejestr listów zastawnych</t>
  </si>
  <si>
    <t>Listy zastawne (EUR)</t>
  </si>
  <si>
    <t>15-03-2029</t>
  </si>
  <si>
    <t>28-02-2029</t>
  </si>
  <si>
    <t>24-04-2025</t>
  </si>
  <si>
    <t>16-10-2023</t>
  </si>
  <si>
    <t>Listy zastawne (PLN)</t>
  </si>
  <si>
    <t>20-02-2023</t>
  </si>
  <si>
    <t>28-07-2022</t>
  </si>
  <si>
    <t>28-04-2022</t>
  </si>
  <si>
    <t>25-02-2022</t>
  </si>
  <si>
    <t>26-11-2021</t>
  </si>
  <si>
    <t>gwarancja</t>
  </si>
  <si>
    <t>Euroobligacje (EUR)</t>
  </si>
  <si>
    <t>22-09-2021</t>
  </si>
  <si>
    <t>10-09-2020</t>
  </si>
  <si>
    <t>28-07-2020</t>
  </si>
  <si>
    <t>24-06-2020</t>
  </si>
  <si>
    <t>15-10-2019</t>
  </si>
  <si>
    <t>21-06-2019</t>
  </si>
  <si>
    <t>01-04-2019</t>
  </si>
  <si>
    <t>21-01-2019</t>
  </si>
  <si>
    <t>niezabezpieczone</t>
  </si>
  <si>
    <t>Obligacje (PLN)</t>
  </si>
  <si>
    <t>16-01-2019</t>
  </si>
  <si>
    <t>06-12-2018</t>
  </si>
  <si>
    <t>Euroobligacje (CZK)</t>
  </si>
  <si>
    <t>22-10-2018</t>
  </si>
  <si>
    <t>08-10-2018</t>
  </si>
  <si>
    <t>Euroobligacje (CHF)</t>
  </si>
  <si>
    <t>15-06-2018</t>
  </si>
  <si>
    <t>15-02-2018</t>
  </si>
  <si>
    <t>19-10-2017</t>
  </si>
  <si>
    <t>16-06-2017</t>
  </si>
  <si>
    <t>20-04-2017</t>
  </si>
  <si>
    <t>Emisje długoterminowe</t>
  </si>
  <si>
    <t>Stan zobowiązania</t>
  </si>
  <si>
    <t>Termin wykupu</t>
  </si>
  <si>
    <t>Gwarancje / zabezpieczenia</t>
  </si>
  <si>
    <t>Umowne warunki oprocentowania</t>
  </si>
  <si>
    <t>Wartość nominalna</t>
  </si>
  <si>
    <t>Dłużne instrumenty finansowe wg rodzaju</t>
  </si>
  <si>
    <t>15-11-2016</t>
  </si>
  <si>
    <t>28-09-2016</t>
  </si>
  <si>
    <t>Publiczny rejestr listów zastawnych</t>
  </si>
  <si>
    <t>20-04-2016</t>
  </si>
  <si>
    <t>Emisje krótkoterminowe</t>
  </si>
  <si>
    <t>Stan na 31 grudnia 2015 r.</t>
  </si>
  <si>
    <t>20-09-2026</t>
  </si>
  <si>
    <t>20-09-2021</t>
  </si>
  <si>
    <t>21-06-2021</t>
  </si>
  <si>
    <t>05-03-2021</t>
  </si>
  <si>
    <t>26-09-2020</t>
  </si>
  <si>
    <t>28-04-2020</t>
  </si>
  <si>
    <t>04-04-2017</t>
  </si>
  <si>
    <t>24-03-2017</t>
  </si>
  <si>
    <t>21-03-2017</t>
  </si>
  <si>
    <t>13-03-2017</t>
  </si>
  <si>
    <t>02-03-2017</t>
  </si>
  <si>
    <t>21-02-2017</t>
  </si>
  <si>
    <t>17-02-2017</t>
  </si>
  <si>
    <t>16-02-2017</t>
  </si>
  <si>
    <t>09-02-2017</t>
  </si>
  <si>
    <t>03-02-2017</t>
  </si>
  <si>
    <t>30-01-2017</t>
  </si>
  <si>
    <t>20-01-2017</t>
  </si>
  <si>
    <t>17-01-2017</t>
  </si>
  <si>
    <t>16-01-2017</t>
  </si>
  <si>
    <t>12-01-2017</t>
  </si>
  <si>
    <t>11-01-2017</t>
  </si>
  <si>
    <t>10-01-2017</t>
  </si>
  <si>
    <t>09-01-2017</t>
  </si>
  <si>
    <t>05-01-2017</t>
  </si>
  <si>
    <t>04-01-2017</t>
  </si>
  <si>
    <t>02-01-2017</t>
  </si>
  <si>
    <t>EUR</t>
  </si>
  <si>
    <t>Stan na 31 grudnia 2016 r.</t>
  </si>
  <si>
    <t>ZOBOWIĄZANIA Z TYTUŁU EMISJI DŁUŻNYCH PAPIERÓW WARTOŚCIOWYCH</t>
  </si>
  <si>
    <t>Stan wyemitowanych dłużnych papierów wartościowych na koniec okresu</t>
  </si>
  <si>
    <t>Inne zmiany</t>
  </si>
  <si>
    <t>Zmniejszenia (częściowa spłata)</t>
  </si>
  <si>
    <t>Zmniejszenia (wykup)</t>
  </si>
  <si>
    <t>Zwiększenia (emisja)</t>
  </si>
  <si>
    <t>17.01.2025</t>
  </si>
  <si>
    <t>6M WIBOR + 2,1%</t>
  </si>
  <si>
    <t>PLN</t>
  </si>
  <si>
    <t>- Inwestorzy nie związani z 
  Grupą mBanku</t>
  </si>
  <si>
    <t>20.12.2023</t>
  </si>
  <si>
    <t>6M WIBOR + 2,25%</t>
  </si>
  <si>
    <r>
      <t xml:space="preserve">nieokreślony </t>
    </r>
    <r>
      <rPr>
        <vertAlign val="superscript"/>
        <sz val="8"/>
        <color rgb="FF201C17"/>
        <rFont val="Verdana"/>
        <family val="2"/>
        <charset val="238"/>
      </rPr>
      <t>1)</t>
    </r>
  </si>
  <si>
    <t>3M LIBOR + 2,2%***</t>
  </si>
  <si>
    <t>CHF</t>
  </si>
  <si>
    <t>- Commerzbank AG</t>
  </si>
  <si>
    <t>3M LIBOR + 1,4%**</t>
  </si>
  <si>
    <t>08.03.2017</t>
  </si>
  <si>
    <t>3M LIBOR + 1,2%*</t>
  </si>
  <si>
    <t>Stan zobowiązania (tys. zł)</t>
  </si>
  <si>
    <t>Termin wymagalności/ wykupu</t>
  </si>
  <si>
    <t>Efektywne oprocentowanie
(%)</t>
  </si>
  <si>
    <t>Warunki oprocentowania (%)</t>
  </si>
  <si>
    <t xml:space="preserve">Waluta </t>
  </si>
  <si>
    <t xml:space="preserve">Wartość nominalna </t>
  </si>
  <si>
    <t>ZOBOWIĄZANIA PODPORZĄDKOWANE</t>
  </si>
  <si>
    <t>3M LIBOR + 3,4%**</t>
  </si>
  <si>
    <t>Stan zobowiązań podporządkowanych na koniec okresu</t>
  </si>
  <si>
    <t>Zmniejszenia (spłata, wcześniejszy wykup)</t>
  </si>
  <si>
    <t>Zwiększenia (emisja obligacji)</t>
  </si>
  <si>
    <t>Zwiększenia (zaciągnięcie pożyczki)</t>
  </si>
  <si>
    <t>- rezerwa na świadczenia z Zakładowego Funduszu Świadczeń Socjalnych</t>
  </si>
  <si>
    <t>- rezerwa pośmiertna</t>
  </si>
  <si>
    <t>- rezerwa emerytalno - rentowa</t>
  </si>
  <si>
    <t>Pozostałe zmiany, w tym:</t>
  </si>
  <si>
    <t>Zmiana założeń demograficznych, w tym:</t>
  </si>
  <si>
    <t>- rezerwa na Zakładowy Fundusz Świadczeń Socjalnych</t>
  </si>
  <si>
    <t>Zmiana założeń finansowych, w tym:</t>
  </si>
  <si>
    <t>Rozbicie zysków i strat aktuarialnych</t>
  </si>
  <si>
    <t>Stan rezerw na koniec okresu</t>
  </si>
  <si>
    <t>Świadczenia wypłacone, w tym:</t>
  </si>
  <si>
    <t>Redukcja/ likwidacja planu, w tym:</t>
  </si>
  <si>
    <t>Zyski i straty aktuarialne ujmowane w pozostałych dochodach całkowitych (Nota 16), w tym:</t>
  </si>
  <si>
    <t>Koszt odsetkowy, w tym:</t>
  </si>
  <si>
    <t>Odpis na rezerwę, w tym:</t>
  </si>
  <si>
    <t>Zmiana w okresie, z tytułu:</t>
  </si>
  <si>
    <t>Stan rezerw na początek okresu</t>
  </si>
  <si>
    <t>Rezerwa na świadczenia pracownicze po okresie zatrudnienia</t>
  </si>
  <si>
    <t>Zmiana stanu rezerwy na świadczenia pracownicze po okresie zatrudnienia</t>
  </si>
  <si>
    <t>Pozostałe zobowiązania, razem</t>
  </si>
  <si>
    <t>- rezerwy na pozostałe zobowiązania wobec pracowników</t>
  </si>
  <si>
    <t>- rezerwa na niewykorzystane urlopy</t>
  </si>
  <si>
    <t>- rezerwa na świadczenia pracownicze po okresie zatrudnienia</t>
  </si>
  <si>
    <t>- przychody przyszłych okresów</t>
  </si>
  <si>
    <t>- bierne rozliczenia międzyokresowe kosztów</t>
  </si>
  <si>
    <t>- wierzyciele</t>
  </si>
  <si>
    <t>- zobowiązania z tytułu dywidend</t>
  </si>
  <si>
    <t>- zobowiązania z tytułu podatków</t>
  </si>
  <si>
    <t>Pozostałe zobowiązania (z tytułu)</t>
  </si>
  <si>
    <t>Zaangażowanie pozabilansowe netto</t>
  </si>
  <si>
    <t>Rezerwy na pozabilansowe udzielone zobowiązania warunkowe analizowane indywidualnie (wielkość ujemna)</t>
  </si>
  <si>
    <t xml:space="preserve">Zaangażowanie pozabilansowe </t>
  </si>
  <si>
    <t>Zobowiązania, które utraciły wartość</t>
  </si>
  <si>
    <t>Rezerwy na pozabilansowe udzielone zobowiązania warunkowe analizowane portfelowo (wielkość ujemna)</t>
  </si>
  <si>
    <t>Na sprawy sporne</t>
  </si>
  <si>
    <t>Na pozabilansowe udzielone zobowiązania warunkowe</t>
  </si>
  <si>
    <t>Stan na koniec okresu (wg tytułów)</t>
  </si>
  <si>
    <t>- różnice kursowe</t>
  </si>
  <si>
    <t>- przeniesienie do aktywów trwałych przeznaczonych do sprzedaży</t>
  </si>
  <si>
    <t>- przeniesienie do innych pozycji sprawozdania z sytuacji finansowej</t>
  </si>
  <si>
    <t>- wykorzystanie</t>
  </si>
  <si>
    <t>- spisanie w ciężar utworzonej rezerwy</t>
  </si>
  <si>
    <t xml:space="preserve">   - pozostałe</t>
  </si>
  <si>
    <t xml:space="preserve">   - na sprawy sporne</t>
  </si>
  <si>
    <t xml:space="preserve">   - na pozabilansowe udzielone zobowiązania warunkowe (Nota 13)</t>
  </si>
  <si>
    <t>- rozwiązanie rezerw, w tym:</t>
  </si>
  <si>
    <t>- odpis w koszty, w tym:</t>
  </si>
  <si>
    <t>Zmiana w okresie (z tytułu)</t>
  </si>
  <si>
    <t xml:space="preserve">Na pozabilansowe udzielone zobowiązania warunkowe </t>
  </si>
  <si>
    <t>Stan na początek okresu (wg tytułów)</t>
  </si>
  <si>
    <t>Zmiana stanu rezerw</t>
  </si>
  <si>
    <t>Rezerwy, razem</t>
  </si>
  <si>
    <t xml:space="preserve">Na pozabilansowe udzielone zobowiązania warunkowe* </t>
  </si>
  <si>
    <t>Razem podatek odroczony ujęty w rachunku zysków i strat (Nota 14)</t>
  </si>
  <si>
    <t>Pozostałe różnice przejściowe</t>
  </si>
  <si>
    <t>Straty podatkowe pozostałe do rozliczenia w następnych okresach</t>
  </si>
  <si>
    <t>Różnica między wartością bilansową i podatkową leasingu</t>
  </si>
  <si>
    <t>Różnica między wartością bilansową i podatkową rzeczowych aktywów trwałych oraz wartości niematerialnych</t>
  </si>
  <si>
    <t>Odsetki i prowizje pobrane z góry</t>
  </si>
  <si>
    <t>Rozliczenia międzyokresowe kosztów</t>
  </si>
  <si>
    <t>Pozostałe rezerwy</t>
  </si>
  <si>
    <t>Rezerwy na świadczenia pracownicze</t>
  </si>
  <si>
    <t>Rezerwy na utratę wartości kredytów i pożyczek</t>
  </si>
  <si>
    <t>Wycena papierów wartościowych</t>
  </si>
  <si>
    <t>Wycena pochodnych instrumentów finansowych</t>
  </si>
  <si>
    <t>Odsetki naliczone</t>
  </si>
  <si>
    <t xml:space="preserve">Podatek odroczony ujęty w rachunku zysków i strat </t>
  </si>
  <si>
    <t>PODATEK ODROCZONY UJĘTY W RACHUNKU ZYSKÓW I STRAT</t>
  </si>
  <si>
    <t>Razem rezerwa z tytułu odroczonego podatku dochodowego</t>
  </si>
  <si>
    <t>Pozostałe dodatnie różnice przejściowe</t>
  </si>
  <si>
    <t>Rozliczenia międzyokresowe dotyczące amortyzacji z tytułu zastosowanej ulgi inwestycyjnej</t>
  </si>
  <si>
    <t>Stan na 31.12.2015</t>
  </si>
  <si>
    <t xml:space="preserve">Pozostałe zmiany </t>
  </si>
  <si>
    <t>Przez kapitał własny</t>
  </si>
  <si>
    <t>Przez pozostałe dochody całkowite</t>
  </si>
  <si>
    <t>Przez rachunek zysków i strat</t>
  </si>
  <si>
    <t>Stan na 01.01.2015</t>
  </si>
  <si>
    <t>Rezerwa z tytułu odroczonego podatku dochodowego</t>
  </si>
  <si>
    <t>Stan na 31.12.2016</t>
  </si>
  <si>
    <t>Stan na 01.01.2016</t>
  </si>
  <si>
    <t>REZERWA Z TYTUŁU ODROCZONEGO PODATKU DOCHODOWEGO</t>
  </si>
  <si>
    <t>Razem aktywa z tytułu odroczonego podatku dochodowego</t>
  </si>
  <si>
    <t>Pozostałe ujemne różnice przejściowe</t>
  </si>
  <si>
    <t>Aktywa z tytułu odroczonego podatku dochodowego</t>
  </si>
  <si>
    <t>AKTYWA Z TYTUŁU ODROCZONEGO PODATKU DOCHODOWEGO</t>
  </si>
  <si>
    <t xml:space="preserve">    Pozycje pozabilansowe razem</t>
  </si>
  <si>
    <t xml:space="preserve">     3. Instrumenty pochodne na ryzyko rynkowe</t>
  </si>
  <si>
    <t xml:space="preserve">     2. Walutowe instrumenty pochodne</t>
  </si>
  <si>
    <t xml:space="preserve">     1. Instrumenty pochodne na stopę procentową</t>
  </si>
  <si>
    <t>Pochodne instrumenty finansowe</t>
  </si>
  <si>
    <t>2.</t>
  </si>
  <si>
    <t xml:space="preserve">         c) Pozostałe zobowiązania otrzymane</t>
  </si>
  <si>
    <t xml:space="preserve">         b) Otrzymane zobowiązania gwarancyjne</t>
  </si>
  <si>
    <t xml:space="preserve">         a) Otrzymane zobowiazania finansowe</t>
  </si>
  <si>
    <t xml:space="preserve">   Zobowiązania otrzymane:</t>
  </si>
  <si>
    <t xml:space="preserve">     3. Pozostałe zobowiązania</t>
  </si>
  <si>
    <t xml:space="preserve">         c) Akredytywy dokumentowe i handlowe</t>
  </si>
  <si>
    <t xml:space="preserve">         c) Gwarancje przejęcia emisji</t>
  </si>
  <si>
    <t xml:space="preserve">         b) Gwarancje i akredytywy stand by</t>
  </si>
  <si>
    <t xml:space="preserve">         a) Akcepty bankowe</t>
  </si>
  <si>
    <t xml:space="preserve">     2. Gwarancje i inne produkty finansowe:</t>
  </si>
  <si>
    <t xml:space="preserve">         c) Zobowiązania kapitałowe</t>
  </si>
  <si>
    <t xml:space="preserve">         b) Zobowiązania z tytułu leasingu operacyjnego</t>
  </si>
  <si>
    <t xml:space="preserve">         a) Zobowiązania do udzielenia kredytu</t>
  </si>
  <si>
    <t xml:space="preserve">     1. Zobowiązania finansowe:</t>
  </si>
  <si>
    <t xml:space="preserve">   Zobowiązania udzielone</t>
  </si>
  <si>
    <t>Zobowiązania warunkowe udzielone i otrzymane</t>
  </si>
  <si>
    <t>1.</t>
  </si>
  <si>
    <t>Pozostałe aktywa</t>
  </si>
  <si>
    <t>Zabezpieczenie rzeczowe</t>
  </si>
  <si>
    <t>Zabezpieczenie gotówkowe (pod transakcje pochodne) (Nota 18 i 22)</t>
  </si>
  <si>
    <t>- Pozostałe papiery nieskarbowe</t>
  </si>
  <si>
    <t>- Listy zastawne</t>
  </si>
  <si>
    <t>- Papiery skarbowe</t>
  </si>
  <si>
    <t>- Bony pieniężne NBP</t>
  </si>
  <si>
    <t>Papiery dłużne (Nota 19 i 23), w tym:</t>
  </si>
  <si>
    <t>Możliwe do zastawienia</t>
  </si>
  <si>
    <t>Ponownie zastawione</t>
  </si>
  <si>
    <t>Przyjęte</t>
  </si>
  <si>
    <t>Aktywa możliwe do zastawienia</t>
  </si>
  <si>
    <t>Aktywa zastawione</t>
  </si>
  <si>
    <t>Aktywa ogółem</t>
  </si>
  <si>
    <t>Środki możliwe do zastawienia (3+7)</t>
  </si>
  <si>
    <t>Pozycja</t>
  </si>
  <si>
    <t>Środki możliwe do zastawienia (3+6)</t>
  </si>
  <si>
    <t>Zabezpieczenia przyjęte w formie papierów wartościowych związane z transakcjami buy sell back</t>
  </si>
  <si>
    <t>Aktywa</t>
  </si>
  <si>
    <t>Pozycja (w tys. zł)</t>
  </si>
  <si>
    <t>od 14 października do 31 grudnia</t>
  </si>
  <si>
    <t>od 29 lipca do 13 października</t>
  </si>
  <si>
    <t>od 10 stycznia do 28 lipca</t>
  </si>
  <si>
    <t>do 9 stycznia 2014</t>
  </si>
  <si>
    <t>od 27 listopada do 31 grudnia</t>
  </si>
  <si>
    <t>od 10 października do 26 listopada</t>
  </si>
  <si>
    <t>od 17 lipca do 9 października</t>
  </si>
  <si>
    <t>od 4 kwietnia do 16 lipca</t>
  </si>
  <si>
    <t>od 6 do 3 kwietnia</t>
  </si>
  <si>
    <t>od 14 stycznia do 5 marca</t>
  </si>
  <si>
    <t>do 13 stycznia 2013</t>
  </si>
  <si>
    <t>od 10 grudnia</t>
  </si>
  <si>
    <t>od 9 listopada do 9 grudnia</t>
  </si>
  <si>
    <t>od 4 października do 8 listopada</t>
  </si>
  <si>
    <t>od 5 do 3 października</t>
  </si>
  <si>
    <t>od 8 sierpnia do 5 września</t>
  </si>
  <si>
    <t>od 11 lipca do 7 sierpnia</t>
  </si>
  <si>
    <t>do 10 lipca 2012</t>
  </si>
  <si>
    <t>* Stan akcji na dzień bilansowy</t>
  </si>
  <si>
    <t>Wartość nominalna jednej akcji  (w zł)</t>
  </si>
  <si>
    <t>Zarejestrowany kapitał akcyjny, razem (w zł)</t>
  </si>
  <si>
    <t>Liczba akcji, razem</t>
  </si>
  <si>
    <t>2016</t>
  </si>
  <si>
    <t>w całości opłacone gotówką</t>
  </si>
  <si>
    <t>-</t>
  </si>
  <si>
    <t>zwykłe na okaziciela</t>
  </si>
  <si>
    <t>2015</t>
  </si>
  <si>
    <t>2014</t>
  </si>
  <si>
    <t>2013</t>
  </si>
  <si>
    <t>2012</t>
  </si>
  <si>
    <t>2011</t>
  </si>
  <si>
    <t>2010</t>
  </si>
  <si>
    <t>2008</t>
  </si>
  <si>
    <t>2007</t>
  </si>
  <si>
    <t>2006</t>
  </si>
  <si>
    <t>2005</t>
  </si>
  <si>
    <t>2004</t>
  </si>
  <si>
    <t>2000</t>
  </si>
  <si>
    <t>1998</t>
  </si>
  <si>
    <t>1997</t>
  </si>
  <si>
    <t>1995</t>
  </si>
  <si>
    <t>1994</t>
  </si>
  <si>
    <t>imienne zwykłe*</t>
  </si>
  <si>
    <t>zwykłe na okaziciela*</t>
  </si>
  <si>
    <t>Rok rejestracji</t>
  </si>
  <si>
    <t>Sposób pokrycia kapitału</t>
  </si>
  <si>
    <t>Wartość serii / emisji wg wartości nominalnej</t>
  </si>
  <si>
    <t>Liczba akcji</t>
  </si>
  <si>
    <t>Rodzaj ograniczenia praw do akcji</t>
  </si>
  <si>
    <t>Rodzaj uprzywilejowania akcji</t>
  </si>
  <si>
    <t>Rodzaj akcji</t>
  </si>
  <si>
    <t>ZAREJESTROWANY KAPITAŁ AKCYJNY (STRUKTURA) NA DZIEŃ 31 GRUDNIA 2016 ROKU</t>
  </si>
  <si>
    <t>Zyski zatrzymane, razem</t>
  </si>
  <si>
    <t>Wynik roku bieżącego</t>
  </si>
  <si>
    <t>Niepodzielony wynik finansowy z lat ubiegłych</t>
  </si>
  <si>
    <t>Fundusz ogólnego ryzyka</t>
  </si>
  <si>
    <t>Pozostałe kapitały rezerwowe</t>
  </si>
  <si>
    <t>Pozostały kapitał zapasowy</t>
  </si>
  <si>
    <t>Inne pozycje kapitału własnego razem</t>
  </si>
  <si>
    <t>Podatek dochodowy</t>
  </si>
  <si>
    <t xml:space="preserve">Inne dochody całkowite </t>
  </si>
  <si>
    <t>Inne dochody całkowite</t>
  </si>
  <si>
    <t xml:space="preserve">- udział w pozostałych dochodach całkowitych wspólnych przedsięwzięć </t>
  </si>
  <si>
    <t>Udział w pozostałych dochodach całkowitych wspólnych przedsięwzięć netto</t>
  </si>
  <si>
    <t>Podatek odroczony</t>
  </si>
  <si>
    <t>Straty aktuarialne programu emerytalnego określonych świadczeń</t>
  </si>
  <si>
    <t>Zyski aktuarialne programu emerytalnego określonych świadczeń</t>
  </si>
  <si>
    <t xml:space="preserve">Zyski i straty aktuarialne dotyczące świadczeń pracowniczych po okresie zatrudnienia </t>
  </si>
  <si>
    <t>Zyski z przeszacowania nieruchomości inwestycyjnych</t>
  </si>
  <si>
    <t>Przeszacowanie nieruchomości inwestycyjnych</t>
  </si>
  <si>
    <t xml:space="preserve">Niezrealizowane straty </t>
  </si>
  <si>
    <t>Niezrealizowane zyski</t>
  </si>
  <si>
    <t>Zabezpieczenia przepływów pieniężnych</t>
  </si>
  <si>
    <t xml:space="preserve">Niezrealizowane straty na instrumentach kapitałowych </t>
  </si>
  <si>
    <t xml:space="preserve">Niezrealizowane zyski na instrumentach kapitałowych </t>
  </si>
  <si>
    <t xml:space="preserve">Niezrealizowane straty na instrumentach dłużnych </t>
  </si>
  <si>
    <t>Niezrealizowane zyski na instrumentach dłużnych</t>
  </si>
  <si>
    <t>Aktywa finansowe dostępne do sprzedaży</t>
  </si>
  <si>
    <t>Niezrealizowane straty (ujemne różnice kursowe)</t>
  </si>
  <si>
    <t xml:space="preserve">Niezrealizowane zyski (dodatnie różnice kursowe) </t>
  </si>
  <si>
    <t xml:space="preserve">Różnice kursowe z przeliczenia jednostek zagranicznych </t>
  </si>
  <si>
    <t>Zmiana stanu inwestycyjnych papierów wartościowych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</si>
</sst>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_-;\-* #,##0.00_-;_-* &quot;-&quot;??_-;_-@_-"/>
    <numFmt numFmtId="165" formatCode="#,##0;\(#,##0\);&quot;-&quot;"/>
    <numFmt numFmtId="166" formatCode="#,##0;[Red]\(#,##0\)"/>
    <numFmt numFmtId="167" formatCode="#,##0;\(#,##0\);&quot;-&quot;;"/>
    <numFmt numFmtId="168" formatCode="#,##0.00;\(#,##0.00\);&quot;-&quot;"/>
    <numFmt numFmtId="169" formatCode="_-* #,##0\ _z_ł_-;\-* #,##0\ _z_ł_-;_-* &quot;-&quot;??\ _z_ł_-;_-@_-"/>
    <numFmt numFmtId="170" formatCode="#,##0.00;[Red]\(#,##0.00\)"/>
    <numFmt numFmtId="171" formatCode="0.000%"/>
    <numFmt numFmtId="172" formatCode="#,##0.000"/>
    <numFmt numFmtId="173" formatCode="#,##0.0000"/>
    <numFmt numFmtId="174" formatCode="#,##0;\ \(#,##0\);&quot;-&quot;"/>
  </numFmts>
  <fonts count="4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Verdana"/>
      <family val="2"/>
      <charset val="238"/>
    </font>
    <font>
      <sz val="8"/>
      <color indexed="10"/>
      <name val="Verdana"/>
      <family val="2"/>
      <charset val="238"/>
    </font>
    <font>
      <b/>
      <sz val="8"/>
      <color rgb="FF201C17"/>
      <name val="Verdana"/>
      <family val="2"/>
      <charset val="238"/>
    </font>
    <font>
      <sz val="8"/>
      <color rgb="FF201C17"/>
      <name val="Verdana"/>
      <family val="2"/>
      <charset val="238"/>
    </font>
    <font>
      <b/>
      <sz val="8"/>
      <color indexed="9"/>
      <name val="Verdana"/>
      <family val="2"/>
      <charset val="238"/>
    </font>
    <font>
      <sz val="8"/>
      <color indexed="44"/>
      <name val="Verdana"/>
      <family val="2"/>
      <charset val="238"/>
    </font>
    <font>
      <sz val="10"/>
      <name val="Verdana"/>
      <family val="2"/>
      <charset val="238"/>
    </font>
    <font>
      <b/>
      <sz val="8"/>
      <name val="Verdana"/>
      <family val="2"/>
      <charset val="238"/>
    </font>
    <font>
      <sz val="8"/>
      <color rgb="FFFF0000"/>
      <name val="Verdana"/>
      <family val="2"/>
      <charset val="238"/>
    </font>
    <font>
      <i/>
      <sz val="8"/>
      <color rgb="FF201C17"/>
      <name val="Verdana"/>
      <family val="2"/>
      <charset val="238"/>
    </font>
    <font>
      <i/>
      <sz val="8"/>
      <name val="Verdana"/>
      <family val="2"/>
      <charset val="238"/>
    </font>
    <font>
      <sz val="8"/>
      <color rgb="FF99CCFF"/>
      <name val="Verdana"/>
      <family val="2"/>
      <charset val="238"/>
    </font>
    <font>
      <sz val="8"/>
      <name val="Trebuchet MS"/>
      <family val="2"/>
      <charset val="238"/>
    </font>
    <font>
      <sz val="9"/>
      <color rgb="FF201C17"/>
      <name val="Verdana"/>
      <family val="2"/>
      <charset val="238"/>
    </font>
    <font>
      <b/>
      <sz val="9"/>
      <color rgb="FF201C17"/>
      <name val="Verdana"/>
      <family val="2"/>
      <charset val="238"/>
    </font>
    <font>
      <b/>
      <sz val="8"/>
      <color theme="0"/>
      <name val="Verdana"/>
      <family val="2"/>
      <charset val="238"/>
    </font>
    <font>
      <sz val="8"/>
      <color rgb="FF201C17"/>
      <name val="Trebuchet MS"/>
      <family val="2"/>
      <charset val="238"/>
    </font>
    <font>
      <b/>
      <u/>
      <sz val="8"/>
      <color indexed="10"/>
      <name val="Verdana"/>
      <family val="2"/>
      <charset val="238"/>
    </font>
    <font>
      <sz val="8"/>
      <color indexed="12"/>
      <name val="Verdana"/>
      <family val="2"/>
      <charset val="238"/>
    </font>
    <font>
      <sz val="8"/>
      <color indexed="18"/>
      <name val="Verdana"/>
      <family val="2"/>
      <charset val="238"/>
    </font>
    <font>
      <sz val="8"/>
      <color indexed="9"/>
      <name val="Verdana"/>
      <family val="2"/>
      <charset val="238"/>
    </font>
    <font>
      <b/>
      <sz val="8"/>
      <color indexed="10"/>
      <name val="Verdana"/>
      <family val="2"/>
      <charset val="238"/>
    </font>
    <font>
      <b/>
      <sz val="8"/>
      <color indexed="30"/>
      <name val="Verdana"/>
      <family val="2"/>
      <charset val="238"/>
    </font>
    <font>
      <sz val="8"/>
      <color indexed="63"/>
      <name val="Verdana"/>
      <family val="2"/>
      <charset val="238"/>
    </font>
    <font>
      <b/>
      <u/>
      <sz val="8"/>
      <name val="Verdana"/>
      <family val="2"/>
      <charset val="238"/>
    </font>
    <font>
      <b/>
      <i/>
      <sz val="8"/>
      <color rgb="FF201C17"/>
      <name val="Verdana"/>
      <family val="2"/>
      <charset val="238"/>
    </font>
    <font>
      <sz val="10"/>
      <name val="Arial CE"/>
      <charset val="238"/>
    </font>
    <font>
      <vertAlign val="superscript"/>
      <sz val="8"/>
      <color rgb="FF201C17"/>
      <name val="Verdana"/>
      <family val="2"/>
      <charset val="238"/>
    </font>
    <font>
      <sz val="9"/>
      <name val="Verdana"/>
      <family val="2"/>
      <charset val="238"/>
    </font>
    <font>
      <b/>
      <sz val="10"/>
      <name val="Verdana"/>
      <family val="2"/>
      <charset val="238"/>
    </font>
    <font>
      <sz val="10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9"/>
      <color rgb="FFFFFFFF"/>
      <name val="Verdana"/>
      <family val="2"/>
      <charset val="238"/>
    </font>
    <font>
      <b/>
      <sz val="9"/>
      <name val="Verdana"/>
      <family val="2"/>
      <charset val="238"/>
    </font>
    <font>
      <sz val="9"/>
      <color rgb="FFFF0000"/>
      <name val="Verdana"/>
      <family val="2"/>
      <charset val="238"/>
    </font>
    <font>
      <sz val="11"/>
      <name val="Verdana"/>
      <family val="2"/>
      <charset val="238"/>
    </font>
    <font>
      <sz val="8"/>
      <color indexed="10"/>
      <name val="Trebuchet MS"/>
      <family val="2"/>
      <charset val="238"/>
    </font>
    <font>
      <b/>
      <sz val="8"/>
      <name val="Trebuchet MS"/>
      <family val="2"/>
      <charset val="238"/>
    </font>
    <font>
      <b/>
      <u/>
      <sz val="10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77BD"/>
        <bgColor indexed="64"/>
      </patternFill>
    </fill>
    <fill>
      <patternFill patternType="solid">
        <fgColor rgb="FF0077BD"/>
        <bgColor rgb="FF000000"/>
      </patternFill>
    </fill>
    <fill>
      <patternFill patternType="solid">
        <fgColor rgb="FF787B7C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indexed="50"/>
        <bgColor indexed="64"/>
      </patternFill>
    </fill>
  </fills>
  <borders count="173">
    <border>
      <left/>
      <right/>
      <top/>
      <bottom/>
      <diagonal/>
    </border>
    <border>
      <left style="medium">
        <color rgb="FF0077BD"/>
      </left>
      <right/>
      <top style="medium">
        <color rgb="FF0077BD"/>
      </top>
      <bottom style="medium">
        <color rgb="FF0077BD"/>
      </bottom>
      <diagonal/>
    </border>
    <border>
      <left style="medium">
        <color rgb="FF0077BD"/>
      </left>
      <right style="medium">
        <color rgb="FF0077BD"/>
      </right>
      <top style="medium">
        <color rgb="FF0077BD"/>
      </top>
      <bottom style="medium">
        <color rgb="FF0077BD"/>
      </bottom>
      <diagonal/>
    </border>
    <border>
      <left/>
      <right style="medium">
        <color rgb="FF0077BD"/>
      </right>
      <top style="medium">
        <color rgb="FF0077BD"/>
      </top>
      <bottom style="medium">
        <color rgb="FF0077BD"/>
      </bottom>
      <diagonal/>
    </border>
    <border>
      <left style="medium">
        <color rgb="FF0077BD"/>
      </left>
      <right/>
      <top style="thin">
        <color rgb="FF0077BD"/>
      </top>
      <bottom style="medium">
        <color rgb="FF0077BD"/>
      </bottom>
      <diagonal/>
    </border>
    <border>
      <left style="medium">
        <color rgb="FF0077BD"/>
      </left>
      <right style="medium">
        <color rgb="FF0077BD"/>
      </right>
      <top style="thin">
        <color rgb="FF0077BD"/>
      </top>
      <bottom style="medium">
        <color rgb="FF0077BD"/>
      </bottom>
      <diagonal/>
    </border>
    <border>
      <left/>
      <right style="medium">
        <color rgb="FF0077BD"/>
      </right>
      <top style="thin">
        <color rgb="FF0077BD"/>
      </top>
      <bottom style="medium">
        <color rgb="FF0077BD"/>
      </bottom>
      <diagonal/>
    </border>
    <border>
      <left style="medium">
        <color rgb="FF0077BD"/>
      </left>
      <right/>
      <top style="thin">
        <color rgb="FF0077BD"/>
      </top>
      <bottom style="thin">
        <color rgb="FF0077BD"/>
      </bottom>
      <diagonal/>
    </border>
    <border>
      <left style="medium">
        <color rgb="FF0077BD"/>
      </left>
      <right style="medium">
        <color rgb="FF0077BD"/>
      </right>
      <top style="thin">
        <color rgb="FF0077BD"/>
      </top>
      <bottom style="thin">
        <color rgb="FF0077BD"/>
      </bottom>
      <diagonal/>
    </border>
    <border>
      <left/>
      <right style="medium">
        <color rgb="FF0077BD"/>
      </right>
      <top style="thin">
        <color rgb="FF0077BD"/>
      </top>
      <bottom style="thin">
        <color rgb="FF0077BD"/>
      </bottom>
      <diagonal/>
    </border>
    <border>
      <left style="medium">
        <color rgb="FF0077BD"/>
      </left>
      <right/>
      <top/>
      <bottom style="thin">
        <color rgb="FF0077BD"/>
      </bottom>
      <diagonal/>
    </border>
    <border>
      <left style="medium">
        <color rgb="FF0077BD"/>
      </left>
      <right style="medium">
        <color rgb="FF0077BD"/>
      </right>
      <top/>
      <bottom style="thin">
        <color rgb="FF0077BD"/>
      </bottom>
      <diagonal/>
    </border>
    <border>
      <left/>
      <right style="medium">
        <color rgb="FF0077BD"/>
      </right>
      <top/>
      <bottom style="thin">
        <color rgb="FF0077BD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rgb="FF0077BD"/>
      </left>
      <right/>
      <top/>
      <bottom style="thin">
        <color rgb="FF787B7C"/>
      </bottom>
      <diagonal/>
    </border>
    <border>
      <left style="medium">
        <color rgb="FF0077BD"/>
      </left>
      <right style="medium">
        <color rgb="FF0077BD"/>
      </right>
      <top/>
      <bottom style="thin">
        <color rgb="FF787B7C"/>
      </bottom>
      <diagonal/>
    </border>
    <border>
      <left/>
      <right style="medium">
        <color rgb="FF0077BD"/>
      </right>
      <top/>
      <bottom style="thin">
        <color rgb="FF787B7C"/>
      </bottom>
      <diagonal/>
    </border>
    <border>
      <left style="medium">
        <color rgb="FF0077BD"/>
      </left>
      <right/>
      <top style="medium">
        <color theme="0"/>
      </top>
      <bottom style="thin">
        <color rgb="FF0077BD"/>
      </bottom>
      <diagonal/>
    </border>
    <border>
      <left style="medium">
        <color rgb="FF0077BD"/>
      </left>
      <right style="medium">
        <color rgb="FF0077BD"/>
      </right>
      <top style="medium">
        <color theme="0"/>
      </top>
      <bottom style="thin">
        <color rgb="FF0077BD"/>
      </bottom>
      <diagonal/>
    </border>
    <border>
      <left/>
      <right style="medium">
        <color rgb="FF0077BD"/>
      </right>
      <top style="medium">
        <color theme="0"/>
      </top>
      <bottom style="thin">
        <color rgb="FF0077BD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rgb="FF787B7C"/>
      </top>
      <bottom/>
      <diagonal/>
    </border>
    <border>
      <left style="medium">
        <color rgb="FF787B7C"/>
      </left>
      <right style="medium">
        <color rgb="FF787B7C"/>
      </right>
      <top/>
      <bottom style="medium">
        <color rgb="FF787B7C"/>
      </bottom>
      <diagonal/>
    </border>
    <border>
      <left/>
      <right style="medium">
        <color rgb="FF787B7C"/>
      </right>
      <top style="thin">
        <color rgb="FF787B7C"/>
      </top>
      <bottom/>
      <diagonal/>
    </border>
    <border>
      <left style="medium">
        <color rgb="FF0077BD"/>
      </left>
      <right/>
      <top style="thin">
        <color indexed="9"/>
      </top>
      <bottom style="thin">
        <color rgb="FF0077BD"/>
      </bottom>
      <diagonal/>
    </border>
    <border>
      <left style="medium">
        <color rgb="FF0077BD"/>
      </left>
      <right style="medium">
        <color rgb="FF0077BD"/>
      </right>
      <top style="thin">
        <color indexed="9"/>
      </top>
      <bottom style="thin">
        <color rgb="FF0077BD"/>
      </bottom>
      <diagonal/>
    </border>
    <border>
      <left/>
      <right style="medium">
        <color rgb="FF0077BD"/>
      </right>
      <top style="thin">
        <color indexed="9"/>
      </top>
      <bottom style="thin">
        <color rgb="FF0077BD"/>
      </bottom>
      <diagonal/>
    </border>
    <border>
      <left/>
      <right/>
      <top/>
      <bottom style="thin">
        <color indexed="9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indexed="9"/>
      </bottom>
      <diagonal/>
    </border>
    <border>
      <left/>
      <right style="medium">
        <color theme="0"/>
      </right>
      <top/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medium">
        <color rgb="FF0077BD"/>
      </left>
      <right/>
      <top style="medium">
        <color rgb="FF0077BD"/>
      </top>
      <bottom style="thin">
        <color rgb="FF0077BD"/>
      </bottom>
      <diagonal/>
    </border>
    <border>
      <left style="medium">
        <color rgb="FF0077BD"/>
      </left>
      <right style="medium">
        <color rgb="FF0077BD"/>
      </right>
      <top style="medium">
        <color rgb="FF0077BD"/>
      </top>
      <bottom style="thin">
        <color rgb="FF0077BD"/>
      </bottom>
      <diagonal/>
    </border>
    <border>
      <left/>
      <right style="medium">
        <color rgb="FF0077BD"/>
      </right>
      <top style="medium">
        <color rgb="FF0077BD"/>
      </top>
      <bottom style="thin">
        <color rgb="FF0077BD"/>
      </bottom>
      <diagonal/>
    </border>
    <border>
      <left style="medium">
        <color rgb="FF0077BD"/>
      </left>
      <right/>
      <top/>
      <bottom style="medium">
        <color rgb="FF0077BD"/>
      </bottom>
      <diagonal/>
    </border>
    <border>
      <left style="medium">
        <color rgb="FF0077BD"/>
      </left>
      <right style="medium">
        <color rgb="FF0077BD"/>
      </right>
      <top/>
      <bottom style="medium">
        <color rgb="FF0077BD"/>
      </bottom>
      <diagonal/>
    </border>
    <border>
      <left/>
      <right style="medium">
        <color rgb="FF0077BD"/>
      </right>
      <top/>
      <bottom style="medium">
        <color rgb="FF0077BD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30"/>
      </top>
      <bottom/>
      <diagonal/>
    </border>
    <border>
      <left/>
      <right/>
      <top style="medium">
        <color rgb="FF0077BD"/>
      </top>
      <bottom style="medium">
        <color rgb="FF0077BD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medium">
        <color rgb="FF0077BD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rgb="FFFFFFFF"/>
      </right>
      <top/>
      <bottom/>
      <diagonal/>
    </border>
    <border>
      <left style="medium">
        <color rgb="FF0077BD"/>
      </left>
      <right/>
      <top style="thin">
        <color rgb="FF0077BD"/>
      </top>
      <bottom/>
      <diagonal/>
    </border>
    <border>
      <left style="medium">
        <color rgb="FF0077BD"/>
      </left>
      <right style="medium">
        <color rgb="FF0077BD"/>
      </right>
      <top style="thin">
        <color rgb="FF0077BD"/>
      </top>
      <bottom/>
      <diagonal/>
    </border>
    <border>
      <left/>
      <right style="medium">
        <color rgb="FF0077BD"/>
      </right>
      <top style="thin">
        <color rgb="FF0077BD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theme="0"/>
      </top>
      <bottom/>
      <diagonal/>
    </border>
    <border>
      <left style="medium">
        <color rgb="FF0070C0"/>
      </left>
      <right style="medium">
        <color rgb="FF0070C0"/>
      </right>
      <top style="medium">
        <color theme="0"/>
      </top>
      <bottom/>
      <diagonal/>
    </border>
    <border>
      <left/>
      <right style="medium">
        <color rgb="FF0070C0"/>
      </right>
      <top style="medium">
        <color theme="0"/>
      </top>
      <bottom/>
      <diagonal/>
    </border>
    <border>
      <left style="thin">
        <color rgb="FF0077BD"/>
      </left>
      <right/>
      <top style="medium">
        <color rgb="FF0077BD"/>
      </top>
      <bottom style="medium">
        <color rgb="FF0077BD"/>
      </bottom>
      <diagonal/>
    </border>
    <border>
      <left style="thin">
        <color rgb="FF0077BD"/>
      </left>
      <right style="thin">
        <color rgb="FF0077BD"/>
      </right>
      <top style="medium">
        <color rgb="FF0077BD"/>
      </top>
      <bottom style="medium">
        <color rgb="FF0077BD"/>
      </bottom>
      <diagonal/>
    </border>
    <border>
      <left/>
      <right style="thin">
        <color rgb="FF0077BD"/>
      </right>
      <top style="medium">
        <color rgb="FF0077BD"/>
      </top>
      <bottom style="medium">
        <color rgb="FF0077BD"/>
      </bottom>
      <diagonal/>
    </border>
    <border>
      <left/>
      <right/>
      <top style="thin">
        <color rgb="FF0077BD"/>
      </top>
      <bottom/>
      <diagonal/>
    </border>
    <border>
      <left style="thin">
        <color rgb="FF0077BD"/>
      </left>
      <right/>
      <top style="thin">
        <color rgb="FF0077BD"/>
      </top>
      <bottom/>
      <diagonal/>
    </border>
    <border>
      <left style="thin">
        <color rgb="FF0077BD"/>
      </left>
      <right style="thin">
        <color rgb="FF0077BD"/>
      </right>
      <top style="thin">
        <color rgb="FF0077BD"/>
      </top>
      <bottom/>
      <diagonal/>
    </border>
    <border>
      <left/>
      <right style="thin">
        <color rgb="FF0077BD"/>
      </right>
      <top style="thin">
        <color rgb="FF0077BD"/>
      </top>
      <bottom/>
      <diagonal/>
    </border>
    <border>
      <left/>
      <right/>
      <top style="thin">
        <color rgb="FF0077BD"/>
      </top>
      <bottom style="thin">
        <color rgb="FF0077BD"/>
      </bottom>
      <diagonal/>
    </border>
    <border>
      <left style="thin">
        <color rgb="FF0077BD"/>
      </left>
      <right/>
      <top style="thin">
        <color rgb="FF0077BD"/>
      </top>
      <bottom style="thin">
        <color rgb="FF0077BD"/>
      </bottom>
      <diagonal/>
    </border>
    <border>
      <left style="thin">
        <color rgb="FF0077BD"/>
      </left>
      <right style="thin">
        <color rgb="FF0077BD"/>
      </right>
      <top style="thin">
        <color rgb="FF0077BD"/>
      </top>
      <bottom style="thin">
        <color rgb="FF0077BD"/>
      </bottom>
      <diagonal/>
    </border>
    <border>
      <left/>
      <right style="thin">
        <color rgb="FF0077BD"/>
      </right>
      <top style="thin">
        <color rgb="FF0077BD"/>
      </top>
      <bottom style="thin">
        <color rgb="FF0077BD"/>
      </bottom>
      <diagonal/>
    </border>
    <border>
      <left/>
      <right/>
      <top style="thin">
        <color indexed="9"/>
      </top>
      <bottom style="thin">
        <color rgb="FF0077BD"/>
      </bottom>
      <diagonal/>
    </border>
    <border>
      <left style="thin">
        <color rgb="FF0077BD"/>
      </left>
      <right/>
      <top style="thin">
        <color indexed="9"/>
      </top>
      <bottom style="thin">
        <color rgb="FF0077BD"/>
      </bottom>
      <diagonal/>
    </border>
    <border>
      <left style="thin">
        <color rgb="FF0077BD"/>
      </left>
      <right style="thin">
        <color rgb="FF0077BD"/>
      </right>
      <top style="thin">
        <color indexed="9"/>
      </top>
      <bottom style="thin">
        <color rgb="FF0077BD"/>
      </bottom>
      <diagonal/>
    </border>
    <border>
      <left/>
      <right style="thin">
        <color rgb="FF0077BD"/>
      </right>
      <top style="thin">
        <color indexed="9"/>
      </top>
      <bottom style="thin">
        <color rgb="FF0077BD"/>
      </bottom>
      <diagonal/>
    </border>
    <border>
      <left style="medium">
        <color theme="0"/>
      </left>
      <right/>
      <top style="thin">
        <color indexed="9"/>
      </top>
      <bottom style="thin">
        <color indexed="9"/>
      </bottom>
      <diagonal/>
    </border>
    <border>
      <left style="medium">
        <color theme="0"/>
      </left>
      <right style="medium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theme="0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theme="0"/>
      </left>
      <right/>
      <top/>
      <bottom style="thin">
        <color indexed="9"/>
      </bottom>
      <diagonal/>
    </border>
    <border>
      <left style="medium">
        <color theme="0"/>
      </left>
      <right style="medium">
        <color theme="0"/>
      </right>
      <top/>
      <bottom style="thin">
        <color indexed="9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rgb="FF0077BD"/>
      </bottom>
      <diagonal/>
    </border>
    <border>
      <left style="thin">
        <color rgb="FF0077BD"/>
      </left>
      <right/>
      <top/>
      <bottom style="thin">
        <color rgb="FF0077BD"/>
      </bottom>
      <diagonal/>
    </border>
    <border>
      <left style="thin">
        <color rgb="FF0077BD"/>
      </left>
      <right style="thin">
        <color rgb="FF0077BD"/>
      </right>
      <top/>
      <bottom style="thin">
        <color rgb="FF0077BD"/>
      </bottom>
      <diagonal/>
    </border>
    <border>
      <left/>
      <right style="thin">
        <color rgb="FF0077BD"/>
      </right>
      <top/>
      <bottom style="thin">
        <color rgb="FF0077BD"/>
      </bottom>
      <diagonal/>
    </border>
    <border>
      <left style="medium">
        <color theme="0"/>
      </left>
      <right/>
      <top style="thin">
        <color indexed="9"/>
      </top>
      <bottom/>
      <diagonal/>
    </border>
    <border>
      <left style="medium">
        <color theme="0"/>
      </left>
      <right style="medium">
        <color theme="0"/>
      </right>
      <top style="thin">
        <color indexed="9"/>
      </top>
      <bottom/>
      <diagonal/>
    </border>
    <border>
      <left style="thin">
        <color indexed="9"/>
      </left>
      <right style="medium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medium">
        <color theme="0"/>
      </right>
      <top style="thin">
        <color indexed="9"/>
      </top>
      <bottom/>
      <diagonal/>
    </border>
    <border>
      <left/>
      <right/>
      <top style="thin">
        <color rgb="FF787B7C"/>
      </top>
      <bottom style="medium">
        <color rgb="FF787B7C"/>
      </bottom>
      <diagonal/>
    </border>
    <border>
      <left/>
      <right/>
      <top style="thin">
        <color rgb="FF0077BD"/>
      </top>
      <bottom style="medium">
        <color rgb="FF0077BD"/>
      </bottom>
      <diagonal/>
    </border>
    <border>
      <left style="thin">
        <color rgb="FF0077BD"/>
      </left>
      <right style="medium">
        <color rgb="FF0077BD"/>
      </right>
      <top style="thin">
        <color rgb="FF0077BD"/>
      </top>
      <bottom style="medium">
        <color rgb="FF0077BD"/>
      </bottom>
      <diagonal/>
    </border>
    <border>
      <left style="medium">
        <color rgb="FF0077BD"/>
      </left>
      <right style="thin">
        <color rgb="FF0077BD"/>
      </right>
      <top style="thin">
        <color rgb="FF0077BD"/>
      </top>
      <bottom style="medium">
        <color rgb="FF0077BD"/>
      </bottom>
      <diagonal/>
    </border>
    <border>
      <left style="thin">
        <color rgb="FF0077BD"/>
      </left>
      <right/>
      <top style="thin">
        <color rgb="FF0077BD"/>
      </top>
      <bottom style="medium">
        <color rgb="FF0077BD"/>
      </bottom>
      <diagonal/>
    </border>
    <border>
      <left style="thin">
        <color rgb="FF0077BD"/>
      </left>
      <right style="thin">
        <color rgb="FF0077BD"/>
      </right>
      <top style="thin">
        <color rgb="FF0077BD"/>
      </top>
      <bottom style="medium">
        <color rgb="FF0077BD"/>
      </bottom>
      <diagonal/>
    </border>
    <border>
      <left/>
      <right style="thin">
        <color rgb="FF0077BD"/>
      </right>
      <top style="thin">
        <color rgb="FF0077BD"/>
      </top>
      <bottom style="medium">
        <color rgb="FF0077BD"/>
      </bottom>
      <diagonal/>
    </border>
    <border>
      <left/>
      <right/>
      <top style="medium">
        <color rgb="FF787B7C"/>
      </top>
      <bottom style="thin">
        <color rgb="FF787B7C"/>
      </bottom>
      <diagonal/>
    </border>
    <border>
      <left/>
      <right/>
      <top style="medium">
        <color rgb="FF0077BD"/>
      </top>
      <bottom style="thin">
        <color rgb="FF0077BD"/>
      </bottom>
      <diagonal/>
    </border>
    <border>
      <left style="thin">
        <color rgb="FF0077BD"/>
      </left>
      <right style="medium">
        <color rgb="FF0077BD"/>
      </right>
      <top style="medium">
        <color rgb="FF0077BD"/>
      </top>
      <bottom style="thin">
        <color rgb="FF0077BD"/>
      </bottom>
      <diagonal/>
    </border>
    <border>
      <left style="medium">
        <color rgb="FF0077BD"/>
      </left>
      <right style="thin">
        <color rgb="FF0077BD"/>
      </right>
      <top style="medium">
        <color rgb="FF0077BD"/>
      </top>
      <bottom style="thin">
        <color rgb="FF0077BD"/>
      </bottom>
      <diagonal/>
    </border>
    <border>
      <left style="thin">
        <color rgb="FF0077BD"/>
      </left>
      <right/>
      <top style="medium">
        <color rgb="FF0077BD"/>
      </top>
      <bottom style="thin">
        <color rgb="FF0077BD"/>
      </bottom>
      <diagonal/>
    </border>
    <border>
      <left style="thin">
        <color rgb="FF0077BD"/>
      </left>
      <right style="thin">
        <color rgb="FF0077BD"/>
      </right>
      <top style="medium">
        <color rgb="FF0077BD"/>
      </top>
      <bottom style="thin">
        <color rgb="FF0077BD"/>
      </bottom>
      <diagonal/>
    </border>
    <border>
      <left/>
      <right style="thin">
        <color rgb="FF0077BD"/>
      </right>
      <top style="medium">
        <color rgb="FF0077BD"/>
      </top>
      <bottom style="thin">
        <color rgb="FF0077BD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rgb="FF787B7C"/>
      </left>
      <right/>
      <top/>
      <bottom style="thin">
        <color rgb="FF787B7C"/>
      </bottom>
      <diagonal/>
    </border>
    <border>
      <left style="thin">
        <color rgb="FF787B7C"/>
      </left>
      <right style="thin">
        <color rgb="FF787B7C"/>
      </right>
      <top/>
      <bottom style="thin">
        <color rgb="FF787B7C"/>
      </bottom>
      <diagonal/>
    </border>
    <border>
      <left/>
      <right style="thin">
        <color rgb="FF787B7C"/>
      </right>
      <top/>
      <bottom style="thin">
        <color rgb="FF787B7C"/>
      </bottom>
      <diagonal/>
    </border>
    <border>
      <left style="medium">
        <color rgb="FF0077BD"/>
      </left>
      <right/>
      <top style="medium">
        <color rgb="FF0077BD"/>
      </top>
      <bottom/>
      <diagonal/>
    </border>
    <border>
      <left style="medium">
        <color rgb="FF0077BD"/>
      </left>
      <right style="medium">
        <color rgb="FF0077BD"/>
      </right>
      <top style="medium">
        <color rgb="FF0077BD"/>
      </top>
      <bottom/>
      <diagonal/>
    </border>
    <border>
      <left/>
      <right style="medium">
        <color rgb="FF0077BD"/>
      </right>
      <top style="medium">
        <color rgb="FF0077BD"/>
      </top>
      <bottom/>
      <diagonal/>
    </border>
    <border>
      <left style="medium">
        <color rgb="FF0077BD"/>
      </left>
      <right/>
      <top style="medium">
        <color theme="0"/>
      </top>
      <bottom style="medium">
        <color rgb="FF0077BD"/>
      </bottom>
      <diagonal/>
    </border>
    <border>
      <left style="medium">
        <color rgb="FF0077BD"/>
      </left>
      <right style="medium">
        <color rgb="FF0077BD"/>
      </right>
      <top style="medium">
        <color theme="0"/>
      </top>
      <bottom style="medium">
        <color rgb="FF0077BD"/>
      </bottom>
      <diagonal/>
    </border>
    <border>
      <left/>
      <right style="medium">
        <color rgb="FF0077BD"/>
      </right>
      <top style="medium">
        <color theme="0"/>
      </top>
      <bottom style="medium">
        <color rgb="FF0077BD"/>
      </bottom>
      <diagonal/>
    </border>
    <border>
      <left style="medium">
        <color theme="0"/>
      </left>
      <right style="thin">
        <color indexed="9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indexed="9"/>
      </right>
      <top/>
      <bottom style="medium">
        <color theme="0"/>
      </bottom>
      <diagonal/>
    </border>
    <border>
      <left/>
      <right/>
      <top style="medium">
        <color rgb="FF787B7C"/>
      </top>
      <bottom style="medium">
        <color rgb="FF787B7C"/>
      </bottom>
      <diagonal/>
    </border>
    <border>
      <left/>
      <right/>
      <top/>
      <bottom style="medium">
        <color rgb="FF787B7C"/>
      </bottom>
      <diagonal/>
    </border>
    <border>
      <left style="medium">
        <color rgb="FF0077BD"/>
      </left>
      <right/>
      <top/>
      <bottom/>
      <diagonal/>
    </border>
    <border>
      <left style="medium">
        <color rgb="FF0077BD"/>
      </left>
      <right style="medium">
        <color rgb="FF0077BD"/>
      </right>
      <top/>
      <bottom/>
      <diagonal/>
    </border>
    <border>
      <left/>
      <right style="medium">
        <color rgb="FF0077BD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medium">
        <color rgb="FF787B7C"/>
      </top>
      <bottom/>
      <diagonal/>
    </border>
    <border>
      <left style="medium">
        <color rgb="FF787B7C"/>
      </left>
      <right/>
      <top style="thin">
        <color rgb="FF787B7C"/>
      </top>
      <bottom style="thin">
        <color rgb="FF787B7C"/>
      </bottom>
      <diagonal/>
    </border>
    <border>
      <left style="medium">
        <color rgb="FF787B7C"/>
      </left>
      <right style="medium">
        <color rgb="FF787B7C"/>
      </right>
      <top style="thin">
        <color rgb="FF787B7C"/>
      </top>
      <bottom style="thin">
        <color rgb="FF787B7C"/>
      </bottom>
      <diagonal/>
    </border>
    <border>
      <left/>
      <right style="medium">
        <color rgb="FF787B7C"/>
      </right>
      <top style="thin">
        <color rgb="FF787B7C"/>
      </top>
      <bottom style="thin">
        <color rgb="FF787B7C"/>
      </bottom>
      <diagonal/>
    </border>
    <border>
      <left style="thin">
        <color indexed="9"/>
      </left>
      <right style="medium">
        <color theme="0"/>
      </right>
      <top/>
      <bottom/>
      <diagonal/>
    </border>
    <border>
      <left style="thin">
        <color rgb="FFFFFFFF"/>
      </left>
      <right style="thin">
        <color rgb="FF0077BD"/>
      </right>
      <top style="medium">
        <color rgb="FF0077BD"/>
      </top>
      <bottom style="medium">
        <color rgb="FF0077BD"/>
      </bottom>
      <diagonal/>
    </border>
    <border>
      <left style="thin">
        <color rgb="FFFFFFFF"/>
      </left>
      <right style="thin">
        <color rgb="FF0077BD"/>
      </right>
      <top style="thin">
        <color rgb="FF0077BD"/>
      </top>
      <bottom/>
      <diagonal/>
    </border>
    <border>
      <left style="thin">
        <color rgb="FFFFFFFF"/>
      </left>
      <right style="thin">
        <color rgb="FF0077BD"/>
      </right>
      <top style="thin">
        <color rgb="FF0077BD"/>
      </top>
      <bottom style="thin">
        <color rgb="FF0077BD"/>
      </bottom>
      <diagonal/>
    </border>
    <border>
      <left style="thin">
        <color rgb="FFFFFFFF"/>
      </left>
      <right style="thin">
        <color rgb="FF0077BD"/>
      </right>
      <top/>
      <bottom style="thin">
        <color rgb="FF0077BD"/>
      </bottom>
      <diagonal/>
    </border>
    <border>
      <left style="thin">
        <color rgb="FFFFFFFF"/>
      </left>
      <right style="thin">
        <color rgb="FF0077BD"/>
      </right>
      <top style="medium">
        <color rgb="FF0077BD"/>
      </top>
      <bottom style="thin">
        <color rgb="FF0077BD"/>
      </bottom>
      <diagonal/>
    </border>
    <border>
      <left style="thin">
        <color rgb="FF0077BD"/>
      </left>
      <right style="thin">
        <color rgb="FFFFFFFF"/>
      </right>
      <top/>
      <bottom style="medium">
        <color rgb="FF0077BD"/>
      </bottom>
      <diagonal/>
    </border>
    <border>
      <left style="thin">
        <color rgb="FF0077BD"/>
      </left>
      <right style="thin">
        <color rgb="FF0077BD"/>
      </right>
      <top/>
      <bottom style="medium">
        <color rgb="FF0077BD"/>
      </bottom>
      <diagonal/>
    </border>
    <border>
      <left style="thin">
        <color rgb="FFFFFFFF"/>
      </left>
      <right style="thin">
        <color rgb="FF0077BD"/>
      </right>
      <top/>
      <bottom style="medium">
        <color rgb="FF0077BD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indexed="9"/>
      </right>
      <top/>
      <bottom/>
      <diagonal/>
    </border>
  </borders>
  <cellStyleXfs count="9">
    <xf numFmtId="0" fontId="0" fillId="0" borderId="0">
      <alignment vertical="center"/>
    </xf>
    <xf numFmtId="164" fontId="1" fillId="0" borderId="0" applyFont="0" applyFill="0" applyBorder="0" applyAlignment="0" applyProtection="0"/>
    <xf numFmtId="0" fontId="1" fillId="0" borderId="0">
      <alignment vertical="center"/>
    </xf>
    <xf numFmtId="164" fontId="1" fillId="0" borderId="0" applyFont="0" applyFill="0" applyBorder="0" applyAlignment="0" applyProtection="0"/>
    <xf numFmtId="0" fontId="1" fillId="0" borderId="0">
      <alignment vertical="center"/>
    </xf>
    <xf numFmtId="164" fontId="1" fillId="0" borderId="0" applyFont="0" applyFill="0" applyBorder="0" applyAlignment="0" applyProtection="0"/>
    <xf numFmtId="0" fontId="28" fillId="0" borderId="0"/>
    <xf numFmtId="0" fontId="1" fillId="0" borderId="0"/>
    <xf numFmtId="0" fontId="1" fillId="0" borderId="0"/>
  </cellStyleXfs>
  <cellXfs count="1015">
    <xf numFmtId="0" fontId="0" fillId="0" borderId="0" xfId="0">
      <alignment vertical="center"/>
    </xf>
    <xf numFmtId="0" fontId="2" fillId="0" borderId="0" xfId="2" applyFont="1" applyAlignment="1"/>
    <xf numFmtId="0" fontId="2" fillId="0" borderId="0" xfId="2" applyFont="1" applyAlignment="1">
      <alignment wrapText="1"/>
    </xf>
    <xf numFmtId="0" fontId="2" fillId="0" borderId="0" xfId="2" applyFont="1" applyAlignment="1">
      <alignment horizontal="center" vertical="center"/>
    </xf>
    <xf numFmtId="165" fontId="3" fillId="0" borderId="0" xfId="1" applyNumberFormat="1" applyFont="1" applyAlignment="1">
      <alignment horizontal="right"/>
    </xf>
    <xf numFmtId="166" fontId="3" fillId="0" borderId="0" xfId="2" applyNumberFormat="1" applyFont="1" applyFill="1" applyBorder="1" applyAlignment="1" applyProtection="1">
      <alignment horizontal="right"/>
      <protection locked="0"/>
    </xf>
    <xf numFmtId="165" fontId="3" fillId="0" borderId="0" xfId="2" applyNumberFormat="1" applyFont="1" applyAlignment="1">
      <alignment wrapText="1"/>
    </xf>
    <xf numFmtId="165" fontId="4" fillId="0" borderId="1" xfId="3" applyNumberFormat="1" applyFont="1" applyFill="1" applyBorder="1" applyAlignment="1">
      <alignment vertical="center"/>
    </xf>
    <xf numFmtId="165" fontId="4" fillId="0" borderId="2" xfId="3" applyNumberFormat="1" applyFont="1" applyBorder="1" applyAlignment="1">
      <alignment vertical="center"/>
    </xf>
    <xf numFmtId="0" fontId="4" fillId="0" borderId="3" xfId="4" applyFont="1" applyBorder="1" applyAlignment="1">
      <alignment vertical="center" wrapText="1"/>
    </xf>
    <xf numFmtId="165" fontId="5" fillId="0" borderId="4" xfId="3" applyNumberFormat="1" applyFont="1" applyBorder="1" applyAlignment="1">
      <alignment horizontal="right" vertical="center"/>
    </xf>
    <xf numFmtId="165" fontId="5" fillId="0" borderId="5" xfId="3" applyNumberFormat="1" applyFont="1" applyFill="1" applyBorder="1" applyAlignment="1">
      <alignment horizontal="right" vertical="center"/>
    </xf>
    <xf numFmtId="166" fontId="5" fillId="0" borderId="6" xfId="4" applyNumberFormat="1" applyFont="1" applyFill="1" applyBorder="1" applyAlignment="1" applyProtection="1">
      <alignment vertical="center" wrapText="1"/>
      <protection locked="0"/>
    </xf>
    <xf numFmtId="165" fontId="5" fillId="0" borderId="7" xfId="3" applyNumberFormat="1" applyFont="1" applyBorder="1" applyAlignment="1">
      <alignment horizontal="right" vertical="center"/>
    </xf>
    <xf numFmtId="165" fontId="5" fillId="0" borderId="8" xfId="3" applyNumberFormat="1" applyFont="1" applyBorder="1" applyAlignment="1">
      <alignment horizontal="right" vertical="center"/>
    </xf>
    <xf numFmtId="166" fontId="5" fillId="0" borderId="9" xfId="4" applyNumberFormat="1" applyFont="1" applyFill="1" applyBorder="1" applyAlignment="1" applyProtection="1">
      <alignment vertical="center" wrapText="1"/>
      <protection locked="0"/>
    </xf>
    <xf numFmtId="165" fontId="5" fillId="0" borderId="10" xfId="3" applyNumberFormat="1" applyFont="1" applyBorder="1" applyAlignment="1">
      <alignment horizontal="right" vertical="center"/>
    </xf>
    <xf numFmtId="165" fontId="5" fillId="0" borderId="11" xfId="3" applyNumberFormat="1" applyFont="1" applyBorder="1" applyAlignment="1">
      <alignment horizontal="right" vertical="center"/>
    </xf>
    <xf numFmtId="166" fontId="5" fillId="0" borderId="12" xfId="4" applyNumberFormat="1" applyFont="1" applyFill="1" applyBorder="1" applyAlignment="1" applyProtection="1">
      <alignment vertical="center" wrapText="1"/>
      <protection locked="0"/>
    </xf>
    <xf numFmtId="14" fontId="6" fillId="2" borderId="13" xfId="4" applyNumberFormat="1" applyFont="1" applyFill="1" applyBorder="1" applyAlignment="1">
      <alignment horizontal="right" vertical="center" wrapText="1"/>
    </xf>
    <xf numFmtId="14" fontId="6" fillId="2" borderId="14" xfId="4" applyNumberFormat="1" applyFont="1" applyFill="1" applyBorder="1" applyAlignment="1">
      <alignment horizontal="right" vertical="center" wrapText="1"/>
    </xf>
    <xf numFmtId="0" fontId="7" fillId="2" borderId="15" xfId="4" applyFont="1" applyFill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165" fontId="3" fillId="0" borderId="0" xfId="2" applyNumberFormat="1" applyFont="1" applyAlignment="1">
      <alignment vertical="center" wrapText="1"/>
    </xf>
    <xf numFmtId="165" fontId="3" fillId="0" borderId="0" xfId="1" applyNumberFormat="1" applyFont="1" applyAlignment="1">
      <alignment vertical="center"/>
    </xf>
    <xf numFmtId="166" fontId="3" fillId="0" borderId="0" xfId="2" applyNumberFormat="1" applyFont="1" applyFill="1" applyBorder="1" applyAlignment="1" applyProtection="1">
      <alignment horizontal="right" vertical="center"/>
      <protection locked="0"/>
    </xf>
    <xf numFmtId="165" fontId="5" fillId="0" borderId="5" xfId="3" applyNumberFormat="1" applyFont="1" applyBorder="1" applyAlignment="1">
      <alignment horizontal="right" vertical="center"/>
    </xf>
    <xf numFmtId="166" fontId="5" fillId="0" borderId="9" xfId="4" quotePrefix="1" applyNumberFormat="1" applyFont="1" applyFill="1" applyBorder="1" applyAlignment="1" applyProtection="1">
      <alignment vertical="center" wrapText="1"/>
      <protection locked="0"/>
    </xf>
    <xf numFmtId="0" fontId="2" fillId="0" borderId="0" xfId="2" applyFont="1" applyFill="1" applyAlignment="1">
      <alignment vertical="center"/>
    </xf>
    <xf numFmtId="165" fontId="5" fillId="0" borderId="7" xfId="3" applyNumberFormat="1" applyFont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3" fontId="2" fillId="0" borderId="0" xfId="2" applyNumberFormat="1" applyFont="1" applyAlignment="1">
      <alignment vertical="center" wrapText="1"/>
    </xf>
    <xf numFmtId="165" fontId="2" fillId="0" borderId="0" xfId="2" applyNumberFormat="1" applyFont="1" applyAlignment="1">
      <alignment vertical="center"/>
    </xf>
    <xf numFmtId="3" fontId="5" fillId="0" borderId="0" xfId="4" applyNumberFormat="1" applyFont="1" applyAlignment="1">
      <alignment vertical="center" wrapText="1"/>
    </xf>
    <xf numFmtId="0" fontId="5" fillId="0" borderId="0" xfId="4" applyFont="1" applyAlignment="1">
      <alignment vertical="center" wrapText="1"/>
    </xf>
    <xf numFmtId="165" fontId="3" fillId="0" borderId="0" xfId="2" applyNumberFormat="1" applyFont="1" applyAlignment="1">
      <alignment vertical="center"/>
    </xf>
    <xf numFmtId="165" fontId="2" fillId="0" borderId="0" xfId="2" applyNumberFormat="1" applyFont="1" applyAlignment="1"/>
    <xf numFmtId="0" fontId="2" fillId="0" borderId="0" xfId="2" applyFont="1" applyFill="1" applyAlignment="1"/>
    <xf numFmtId="167" fontId="3" fillId="0" borderId="0" xfId="2" applyNumberFormat="1" applyFont="1" applyAlignment="1"/>
    <xf numFmtId="0" fontId="3" fillId="0" borderId="0" xfId="2" applyFont="1" applyAlignment="1">
      <alignment horizontal="right"/>
    </xf>
    <xf numFmtId="4" fontId="4" fillId="0" borderId="1" xfId="4" applyNumberFormat="1" applyFont="1" applyBorder="1" applyAlignment="1">
      <alignment horizontal="right" vertical="center" wrapText="1"/>
    </xf>
    <xf numFmtId="165" fontId="4" fillId="0" borderId="2" xfId="4" applyNumberFormat="1" applyFont="1" applyBorder="1" applyAlignment="1">
      <alignment horizontal="right" vertical="center" wrapText="1"/>
    </xf>
    <xf numFmtId="4" fontId="4" fillId="0" borderId="2" xfId="4" applyNumberFormat="1" applyFont="1" applyBorder="1" applyAlignment="1">
      <alignment horizontal="right" vertical="center" wrapText="1"/>
    </xf>
    <xf numFmtId="0" fontId="4" fillId="0" borderId="3" xfId="4" applyFont="1" applyFill="1" applyBorder="1" applyAlignment="1" applyProtection="1">
      <alignment vertical="center" wrapText="1"/>
      <protection locked="0"/>
    </xf>
    <xf numFmtId="10" fontId="2" fillId="0" borderId="0" xfId="2" applyNumberFormat="1" applyFont="1" applyAlignment="1"/>
    <xf numFmtId="3" fontId="2" fillId="0" borderId="0" xfId="2" applyNumberFormat="1" applyFont="1" applyAlignment="1"/>
    <xf numFmtId="4" fontId="5" fillId="0" borderId="16" xfId="4" applyNumberFormat="1" applyFont="1" applyBorder="1" applyAlignment="1">
      <alignment vertical="center"/>
    </xf>
    <xf numFmtId="165" fontId="5" fillId="0" borderId="17" xfId="4" applyNumberFormat="1" applyFont="1" applyBorder="1" applyAlignment="1">
      <alignment horizontal="right" vertical="center" wrapText="1"/>
    </xf>
    <xf numFmtId="4" fontId="5" fillId="0" borderId="17" xfId="4" applyNumberFormat="1" applyFont="1" applyBorder="1" applyAlignment="1">
      <alignment horizontal="right" vertical="center" wrapText="1"/>
    </xf>
    <xf numFmtId="0" fontId="5" fillId="0" borderId="18" xfId="4" applyFont="1" applyFill="1" applyBorder="1" applyAlignment="1" applyProtection="1">
      <alignment vertical="center" wrapText="1"/>
      <protection locked="0"/>
    </xf>
    <xf numFmtId="165" fontId="5" fillId="0" borderId="4" xfId="4" applyNumberFormat="1" applyFont="1" applyBorder="1" applyAlignment="1">
      <alignment vertical="center"/>
    </xf>
    <xf numFmtId="165" fontId="5" fillId="0" borderId="5" xfId="4" applyNumberFormat="1" applyFont="1" applyBorder="1" applyAlignment="1">
      <alignment vertical="center"/>
    </xf>
    <xf numFmtId="168" fontId="5" fillId="0" borderId="5" xfId="4" applyNumberFormat="1" applyFont="1" applyBorder="1" applyAlignment="1">
      <alignment horizontal="right" vertical="center" wrapText="1"/>
    </xf>
    <xf numFmtId="165" fontId="5" fillId="0" borderId="5" xfId="4" applyNumberFormat="1" applyFont="1" applyBorder="1" applyAlignment="1">
      <alignment horizontal="right" vertical="center" wrapText="1"/>
    </xf>
    <xf numFmtId="0" fontId="5" fillId="0" borderId="6" xfId="4" applyFont="1" applyFill="1" applyBorder="1" applyAlignment="1" applyProtection="1">
      <alignment vertical="center" wrapText="1"/>
      <protection locked="0"/>
    </xf>
    <xf numFmtId="165" fontId="5" fillId="0" borderId="7" xfId="4" applyNumberFormat="1" applyFont="1" applyBorder="1" applyAlignment="1">
      <alignment vertical="center"/>
    </xf>
    <xf numFmtId="165" fontId="5" fillId="0" borderId="8" xfId="4" applyNumberFormat="1" applyFont="1" applyBorder="1" applyAlignment="1">
      <alignment vertical="center"/>
    </xf>
    <xf numFmtId="165" fontId="5" fillId="0" borderId="8" xfId="4" applyNumberFormat="1" applyFont="1" applyFill="1" applyBorder="1" applyAlignment="1">
      <alignment horizontal="right" vertical="center" wrapText="1"/>
    </xf>
    <xf numFmtId="0" fontId="5" fillId="0" borderId="9" xfId="4" applyFont="1" applyFill="1" applyBorder="1" applyAlignment="1" applyProtection="1">
      <alignment vertical="center" wrapText="1"/>
      <protection locked="0"/>
    </xf>
    <xf numFmtId="4" fontId="5" fillId="0" borderId="19" xfId="4" applyNumberFormat="1" applyFont="1" applyBorder="1" applyAlignment="1">
      <alignment vertical="center"/>
    </xf>
    <xf numFmtId="3" fontId="5" fillId="0" borderId="20" xfId="4" applyNumberFormat="1" applyFont="1" applyBorder="1" applyAlignment="1">
      <alignment vertical="center"/>
    </xf>
    <xf numFmtId="4" fontId="5" fillId="0" borderId="20" xfId="4" applyNumberFormat="1" applyFont="1" applyBorder="1" applyAlignment="1">
      <alignment horizontal="right" vertical="center" wrapText="1"/>
    </xf>
    <xf numFmtId="165" fontId="5" fillId="0" borderId="20" xfId="4" applyNumberFormat="1" applyFont="1" applyBorder="1" applyAlignment="1">
      <alignment horizontal="right" vertical="center" wrapText="1"/>
    </xf>
    <xf numFmtId="0" fontId="5" fillId="0" borderId="21" xfId="4" applyFont="1" applyFill="1" applyBorder="1" applyAlignment="1" applyProtection="1">
      <alignment vertical="center" wrapText="1"/>
      <protection locked="0"/>
    </xf>
    <xf numFmtId="0" fontId="6" fillId="2" borderId="22" xfId="4" applyFont="1" applyFill="1" applyBorder="1" applyAlignment="1" applyProtection="1">
      <alignment horizontal="center" vertical="center" wrapText="1"/>
      <protection locked="0"/>
    </xf>
    <xf numFmtId="0" fontId="6" fillId="2" borderId="23" xfId="4" applyFont="1" applyFill="1" applyBorder="1" applyAlignment="1" applyProtection="1">
      <alignment horizontal="center" vertical="center" wrapText="1"/>
      <protection locked="0"/>
    </xf>
    <xf numFmtId="10" fontId="2" fillId="0" borderId="0" xfId="2" applyNumberFormat="1" applyFont="1" applyFill="1" applyBorder="1" applyAlignment="1" applyProtection="1">
      <protection locked="0"/>
    </xf>
    <xf numFmtId="0" fontId="2" fillId="0" borderId="0" xfId="2" applyFont="1" applyFill="1" applyBorder="1" applyAlignment="1" applyProtection="1">
      <protection locked="0"/>
    </xf>
    <xf numFmtId="10" fontId="2" fillId="0" borderId="0" xfId="2" applyNumberFormat="1" applyFont="1" applyFill="1" applyAlignment="1" applyProtection="1">
      <protection locked="0"/>
    </xf>
    <xf numFmtId="0" fontId="2" fillId="0" borderId="0" xfId="2" applyFont="1" applyFill="1" applyAlignment="1" applyProtection="1">
      <protection locked="0"/>
    </xf>
    <xf numFmtId="0" fontId="8" fillId="0" borderId="0" xfId="0" applyFont="1" applyFill="1" applyBorder="1" applyAlignment="1"/>
    <xf numFmtId="0" fontId="2" fillId="0" borderId="0" xfId="4" applyFont="1" applyFill="1" applyBorder="1" applyAlignment="1"/>
    <xf numFmtId="165" fontId="2" fillId="0" borderId="0" xfId="4" applyNumberFormat="1" applyFont="1" applyFill="1" applyBorder="1" applyAlignment="1"/>
    <xf numFmtId="0" fontId="9" fillId="0" borderId="0" xfId="4" applyFont="1" applyFill="1" applyBorder="1" applyAlignment="1">
      <alignment horizontal="center" vertical="center" wrapText="1"/>
    </xf>
    <xf numFmtId="165" fontId="10" fillId="0" borderId="0" xfId="4" applyNumberFormat="1" applyFont="1" applyFill="1" applyBorder="1" applyAlignment="1"/>
    <xf numFmtId="165" fontId="4" fillId="0" borderId="1" xfId="4" applyNumberFormat="1" applyFont="1" applyFill="1" applyBorder="1" applyAlignment="1" applyProtection="1">
      <alignment horizontal="right" vertical="center" wrapText="1"/>
      <protection locked="0"/>
    </xf>
    <xf numFmtId="165" fontId="4" fillId="0" borderId="2" xfId="4" applyNumberFormat="1" applyFont="1" applyFill="1" applyBorder="1" applyAlignment="1" applyProtection="1">
      <alignment horizontal="right" vertical="center" wrapText="1"/>
      <protection locked="0"/>
    </xf>
    <xf numFmtId="165" fontId="5" fillId="0" borderId="26" xfId="4" applyNumberFormat="1" applyFont="1" applyFill="1" applyBorder="1" applyAlignment="1">
      <alignment horizontal="right" vertical="center" wrapText="1"/>
    </xf>
    <xf numFmtId="165" fontId="5" fillId="0" borderId="27" xfId="4" applyNumberFormat="1" applyFont="1" applyFill="1" applyBorder="1" applyAlignment="1" applyProtection="1">
      <alignment horizontal="right" vertical="center" wrapText="1"/>
      <protection locked="0"/>
    </xf>
    <xf numFmtId="0" fontId="11" fillId="0" borderId="28" xfId="4" applyFont="1" applyFill="1" applyBorder="1" applyAlignment="1" applyProtection="1">
      <alignment horizontal="center" vertical="center" wrapText="1"/>
      <protection locked="0"/>
    </xf>
    <xf numFmtId="165" fontId="5" fillId="0" borderId="7" xfId="4" applyNumberFormat="1" applyFont="1" applyFill="1" applyBorder="1" applyAlignment="1">
      <alignment horizontal="right" vertical="center" wrapText="1"/>
    </xf>
    <xf numFmtId="165" fontId="5" fillId="0" borderId="8" xfId="4" applyNumberFormat="1" applyFont="1" applyFill="1" applyBorder="1" applyAlignment="1" applyProtection="1">
      <alignment horizontal="right" vertical="center" wrapText="1"/>
      <protection locked="0"/>
    </xf>
    <xf numFmtId="0" fontId="5" fillId="0" borderId="9" xfId="4" applyFont="1" applyFill="1" applyBorder="1" applyAlignment="1" applyProtection="1">
      <alignment horizontal="center" vertical="center" wrapText="1"/>
      <protection locked="0"/>
    </xf>
    <xf numFmtId="165" fontId="5" fillId="0" borderId="29" xfId="4" applyNumberFormat="1" applyFont="1" applyFill="1" applyBorder="1" applyAlignment="1">
      <alignment horizontal="right" vertical="center" wrapText="1"/>
    </xf>
    <xf numFmtId="165" fontId="5" fillId="0" borderId="30" xfId="4" applyNumberFormat="1" applyFont="1" applyFill="1" applyBorder="1" applyAlignment="1" applyProtection="1">
      <alignment horizontal="right" vertical="center" wrapText="1"/>
      <protection locked="0"/>
    </xf>
    <xf numFmtId="0" fontId="5" fillId="0" borderId="31" xfId="4" applyFont="1" applyFill="1" applyBorder="1" applyAlignment="1" applyProtection="1">
      <alignment horizontal="center" vertical="center" wrapText="1"/>
      <protection locked="0"/>
    </xf>
    <xf numFmtId="0" fontId="6" fillId="2" borderId="32" xfId="4" applyFont="1" applyFill="1" applyBorder="1" applyAlignment="1" applyProtection="1">
      <alignment horizontal="center" vertical="center" wrapText="1"/>
      <protection locked="0"/>
    </xf>
    <xf numFmtId="0" fontId="6" fillId="2" borderId="33" xfId="4" applyFont="1" applyFill="1" applyBorder="1" applyAlignment="1" applyProtection="1">
      <alignment horizontal="center" vertical="center" wrapText="1"/>
      <protection locked="0"/>
    </xf>
    <xf numFmtId="0" fontId="6" fillId="2" borderId="34" xfId="4" applyFont="1" applyFill="1" applyBorder="1" applyAlignment="1" applyProtection="1">
      <alignment horizontal="center" vertical="center" wrapText="1"/>
      <protection locked="0"/>
    </xf>
    <xf numFmtId="3" fontId="9" fillId="0" borderId="0" xfId="2" applyNumberFormat="1" applyFont="1" applyAlignment="1">
      <alignment vertical="center" wrapText="1"/>
    </xf>
    <xf numFmtId="0" fontId="9" fillId="0" borderId="0" xfId="2" applyFont="1" applyAlignment="1">
      <alignment vertical="center" wrapText="1"/>
    </xf>
    <xf numFmtId="3" fontId="2" fillId="0" borderId="0" xfId="2" quotePrefix="1" applyNumberFormat="1" applyFont="1" applyAlignment="1">
      <alignment vertical="center" wrapText="1"/>
    </xf>
    <xf numFmtId="0" fontId="2" fillId="0" borderId="0" xfId="2" quotePrefix="1" applyFont="1" applyAlignment="1">
      <alignment vertical="center" wrapText="1"/>
    </xf>
    <xf numFmtId="3" fontId="12" fillId="0" borderId="0" xfId="2" applyNumberFormat="1" applyFont="1" applyAlignment="1">
      <alignment vertical="center" wrapText="1"/>
    </xf>
    <xf numFmtId="0" fontId="12" fillId="0" borderId="0" xfId="2" applyFont="1" applyAlignment="1">
      <alignment vertical="center" wrapText="1"/>
    </xf>
    <xf numFmtId="3" fontId="9" fillId="0" borderId="0" xfId="2" quotePrefix="1" applyNumberFormat="1" applyFont="1" applyAlignment="1">
      <alignment vertical="center" wrapText="1"/>
    </xf>
    <xf numFmtId="0" fontId="9" fillId="0" borderId="0" xfId="2" quotePrefix="1" applyFont="1" applyAlignment="1">
      <alignment vertical="center" wrapText="1"/>
    </xf>
    <xf numFmtId="165" fontId="10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3" fontId="10" fillId="0" borderId="0" xfId="2" applyNumberFormat="1" applyFont="1" applyAlignment="1">
      <alignment vertical="center" wrapText="1"/>
    </xf>
    <xf numFmtId="165" fontId="4" fillId="0" borderId="1" xfId="4" applyNumberFormat="1" applyFont="1" applyBorder="1" applyAlignment="1">
      <alignment horizontal="right" vertical="center" wrapText="1"/>
    </xf>
    <xf numFmtId="165" fontId="4" fillId="0" borderId="3" xfId="4" applyNumberFormat="1" applyFont="1" applyBorder="1" applyAlignment="1">
      <alignment vertical="center" wrapText="1"/>
    </xf>
    <xf numFmtId="165" fontId="5" fillId="0" borderId="0" xfId="4" applyNumberFormat="1" applyFont="1" applyBorder="1" applyAlignment="1">
      <alignment horizontal="right" vertical="center"/>
    </xf>
    <xf numFmtId="165" fontId="5" fillId="0" borderId="0" xfId="4" applyNumberFormat="1" applyFont="1" applyAlignment="1">
      <alignment horizontal="right" vertical="center" wrapText="1"/>
    </xf>
    <xf numFmtId="165" fontId="5" fillId="0" borderId="0" xfId="4" applyNumberFormat="1" applyFont="1" applyAlignment="1">
      <alignment vertical="center" wrapText="1"/>
    </xf>
    <xf numFmtId="165" fontId="5" fillId="0" borderId="4" xfId="3" quotePrefix="1" applyNumberFormat="1" applyFont="1" applyBorder="1" applyAlignment="1">
      <alignment horizontal="right" vertical="center"/>
    </xf>
    <xf numFmtId="165" fontId="5" fillId="0" borderId="5" xfId="3" quotePrefix="1" applyNumberFormat="1" applyFont="1" applyBorder="1" applyAlignment="1">
      <alignment horizontal="right" vertical="center"/>
    </xf>
    <xf numFmtId="165" fontId="5" fillId="0" borderId="6" xfId="3" quotePrefix="1" applyNumberFormat="1" applyFont="1" applyBorder="1" applyAlignment="1">
      <alignment vertical="center"/>
    </xf>
    <xf numFmtId="165" fontId="5" fillId="0" borderId="36" xfId="3" quotePrefix="1" applyNumberFormat="1" applyFont="1" applyBorder="1" applyAlignment="1">
      <alignment horizontal="right" vertical="center"/>
    </xf>
    <xf numFmtId="165" fontId="5" fillId="0" borderId="37" xfId="3" quotePrefix="1" applyNumberFormat="1" applyFont="1" applyBorder="1" applyAlignment="1">
      <alignment horizontal="right" vertical="center"/>
    </xf>
    <xf numFmtId="165" fontId="5" fillId="0" borderId="38" xfId="3" quotePrefix="1" applyNumberFormat="1" applyFont="1" applyBorder="1" applyAlignment="1">
      <alignment vertical="center"/>
    </xf>
    <xf numFmtId="165" fontId="5" fillId="0" borderId="4" xfId="4" quotePrefix="1" applyNumberFormat="1" applyFont="1" applyFill="1" applyBorder="1" applyAlignment="1">
      <alignment horizontal="right" vertical="center" wrapText="1"/>
    </xf>
    <xf numFmtId="165" fontId="5" fillId="0" borderId="5" xfId="4" quotePrefix="1" applyNumberFormat="1" applyFont="1" applyFill="1" applyBorder="1" applyAlignment="1">
      <alignment horizontal="right" vertical="center" wrapText="1"/>
    </xf>
    <xf numFmtId="165" fontId="5" fillId="0" borderId="6" xfId="4" quotePrefix="1" applyNumberFormat="1" applyFont="1" applyFill="1" applyBorder="1" applyAlignment="1">
      <alignment vertical="center" wrapText="1"/>
    </xf>
    <xf numFmtId="165" fontId="5" fillId="0" borderId="7" xfId="4" quotePrefix="1" applyNumberFormat="1" applyFont="1" applyFill="1" applyBorder="1" applyAlignment="1">
      <alignment horizontal="right" vertical="center" wrapText="1"/>
    </xf>
    <xf numFmtId="165" fontId="5" fillId="0" borderId="8" xfId="4" quotePrefix="1" applyNumberFormat="1" applyFont="1" applyFill="1" applyBorder="1" applyAlignment="1">
      <alignment horizontal="right" vertical="center" wrapText="1"/>
    </xf>
    <xf numFmtId="165" fontId="5" fillId="0" borderId="9" xfId="4" quotePrefix="1" applyNumberFormat="1" applyFont="1" applyFill="1" applyBorder="1" applyAlignment="1">
      <alignment horizontal="left" vertical="center" wrapText="1"/>
    </xf>
    <xf numFmtId="165" fontId="5" fillId="0" borderId="9" xfId="4" quotePrefix="1" applyNumberFormat="1" applyFont="1" applyFill="1" applyBorder="1" applyAlignment="1">
      <alignment vertical="center" wrapText="1"/>
    </xf>
    <xf numFmtId="165" fontId="5" fillId="0" borderId="9" xfId="4" applyNumberFormat="1" applyFont="1" applyFill="1" applyBorder="1" applyAlignment="1">
      <alignment vertical="center" wrapText="1"/>
    </xf>
    <xf numFmtId="165" fontId="5" fillId="0" borderId="7" xfId="4" applyNumberFormat="1" applyFont="1" applyBorder="1" applyAlignment="1">
      <alignment horizontal="right" vertical="center" wrapText="1"/>
    </xf>
    <xf numFmtId="165" fontId="5" fillId="0" borderId="8" xfId="4" applyNumberFormat="1" applyFont="1" applyBorder="1" applyAlignment="1">
      <alignment horizontal="right" vertical="center" wrapText="1"/>
    </xf>
    <xf numFmtId="165" fontId="5" fillId="0" borderId="9" xfId="4" applyNumberFormat="1" applyFont="1" applyBorder="1" applyAlignment="1">
      <alignment vertical="center" wrapText="1"/>
    </xf>
    <xf numFmtId="165" fontId="5" fillId="0" borderId="7" xfId="4" quotePrefix="1" applyNumberFormat="1" applyFont="1" applyBorder="1" applyAlignment="1">
      <alignment horizontal="right" vertical="center" wrapText="1"/>
    </xf>
    <xf numFmtId="165" fontId="5" fillId="0" borderId="8" xfId="4" quotePrefix="1" applyNumberFormat="1" applyFont="1" applyBorder="1" applyAlignment="1">
      <alignment horizontal="right" vertical="center" wrapText="1"/>
    </xf>
    <xf numFmtId="165" fontId="5" fillId="0" borderId="9" xfId="4" quotePrefix="1" applyNumberFormat="1" applyFont="1" applyBorder="1" applyAlignment="1">
      <alignment vertical="center" wrapText="1"/>
    </xf>
    <xf numFmtId="165" fontId="5" fillId="0" borderId="36" xfId="4" applyNumberFormat="1" applyFont="1" applyBorder="1" applyAlignment="1">
      <alignment horizontal="right" vertical="center" wrapText="1"/>
    </xf>
    <xf numFmtId="165" fontId="5" fillId="0" borderId="37" xfId="4" applyNumberFormat="1" applyFont="1" applyBorder="1" applyAlignment="1">
      <alignment horizontal="right" vertical="center" wrapText="1"/>
    </xf>
    <xf numFmtId="165" fontId="5" fillId="0" borderId="38" xfId="4" applyNumberFormat="1" applyFont="1" applyBorder="1" applyAlignment="1">
      <alignment vertical="center" wrapText="1"/>
    </xf>
    <xf numFmtId="165" fontId="4" fillId="0" borderId="39" xfId="4" applyNumberFormat="1" applyFont="1" applyBorder="1" applyAlignment="1">
      <alignment horizontal="right" vertical="center" wrapText="1"/>
    </xf>
    <xf numFmtId="165" fontId="4" fillId="0" borderId="40" xfId="4" applyNumberFormat="1" applyFont="1" applyBorder="1" applyAlignment="1">
      <alignment horizontal="right" vertical="center" wrapText="1"/>
    </xf>
    <xf numFmtId="165" fontId="4" fillId="0" borderId="41" xfId="4" applyNumberFormat="1" applyFont="1" applyBorder="1" applyAlignment="1">
      <alignment vertical="center" wrapText="1"/>
    </xf>
    <xf numFmtId="14" fontId="6" fillId="2" borderId="42" xfId="4" applyNumberFormat="1" applyFont="1" applyFill="1" applyBorder="1" applyAlignment="1">
      <alignment horizontal="center" vertical="center" wrapText="1"/>
    </xf>
    <xf numFmtId="14" fontId="6" fillId="2" borderId="43" xfId="4" applyNumberFormat="1" applyFont="1" applyFill="1" applyBorder="1" applyAlignment="1">
      <alignment horizontal="center" vertical="center" wrapText="1"/>
    </xf>
    <xf numFmtId="0" fontId="6" fillId="2" borderId="15" xfId="4" applyFont="1" applyFill="1" applyBorder="1" applyAlignment="1">
      <alignment vertical="center" wrapText="1"/>
    </xf>
    <xf numFmtId="0" fontId="2" fillId="0" borderId="0" xfId="4" applyFont="1" applyAlignment="1">
      <alignment vertical="center"/>
    </xf>
    <xf numFmtId="0" fontId="2" fillId="0" borderId="0" xfId="4" applyFont="1" applyAlignment="1">
      <alignment vertical="center" wrapText="1"/>
    </xf>
    <xf numFmtId="0" fontId="2" fillId="0" borderId="0" xfId="4" applyFont="1" applyAlignment="1">
      <alignment horizontal="center" vertical="center"/>
    </xf>
    <xf numFmtId="169" fontId="2" fillId="0" borderId="0" xfId="3" applyNumberFormat="1" applyFont="1" applyAlignment="1">
      <alignment vertical="center"/>
    </xf>
    <xf numFmtId="165" fontId="3" fillId="0" borderId="0" xfId="4" applyNumberFormat="1" applyFont="1" applyAlignment="1">
      <alignment vertical="center"/>
    </xf>
    <xf numFmtId="166" fontId="3" fillId="0" borderId="0" xfId="4" applyNumberFormat="1" applyFont="1" applyFill="1" applyBorder="1" applyAlignment="1" applyProtection="1">
      <alignment horizontal="right" vertical="center"/>
      <protection locked="0"/>
    </xf>
    <xf numFmtId="166" fontId="4" fillId="0" borderId="3" xfId="4" applyNumberFormat="1" applyFont="1" applyFill="1" applyBorder="1" applyAlignment="1" applyProtection="1">
      <alignment horizontal="left" vertical="center" wrapText="1"/>
      <protection locked="0"/>
    </xf>
    <xf numFmtId="0" fontId="5" fillId="0" borderId="0" xfId="4" applyFont="1" applyAlignment="1">
      <alignment vertical="center"/>
    </xf>
    <xf numFmtId="169" fontId="5" fillId="0" borderId="0" xfId="3" applyNumberFormat="1" applyFont="1" applyAlignment="1">
      <alignment vertical="center"/>
    </xf>
    <xf numFmtId="165" fontId="5" fillId="0" borderId="46" xfId="4" applyNumberFormat="1" applyFont="1" applyFill="1" applyBorder="1" applyAlignment="1" applyProtection="1">
      <alignment horizontal="right" vertical="center" wrapText="1"/>
      <protection locked="0"/>
    </xf>
    <xf numFmtId="166" fontId="5" fillId="0" borderId="0" xfId="4" applyNumberFormat="1" applyFont="1" applyFill="1" applyBorder="1" applyAlignment="1" applyProtection="1">
      <alignment horizontal="left" vertical="center" wrapText="1"/>
      <protection locked="0"/>
    </xf>
    <xf numFmtId="165" fontId="5" fillId="0" borderId="0" xfId="4" applyNumberFormat="1" applyFont="1" applyFill="1" applyAlignment="1">
      <alignment vertical="center"/>
    </xf>
    <xf numFmtId="165" fontId="5" fillId="0" borderId="0" xfId="3" applyNumberFormat="1" applyFont="1" applyFill="1" applyAlignment="1">
      <alignment vertical="center"/>
    </xf>
    <xf numFmtId="165" fontId="5" fillId="0" borderId="4" xfId="4" applyNumberFormat="1" applyFont="1" applyFill="1" applyBorder="1" applyAlignment="1" applyProtection="1">
      <alignment horizontal="right" vertical="center" wrapText="1"/>
      <protection locked="0"/>
    </xf>
    <xf numFmtId="165" fontId="5" fillId="0" borderId="5" xfId="4" applyNumberFormat="1" applyFont="1" applyFill="1" applyBorder="1" applyAlignment="1" applyProtection="1">
      <alignment horizontal="right" vertical="center" wrapText="1"/>
      <protection locked="0"/>
    </xf>
    <xf numFmtId="166" fontId="5" fillId="0" borderId="6" xfId="4" applyNumberFormat="1" applyFont="1" applyFill="1" applyBorder="1" applyAlignment="1" applyProtection="1">
      <alignment horizontal="left" vertical="center" wrapText="1"/>
      <protection locked="0"/>
    </xf>
    <xf numFmtId="165" fontId="5" fillId="0" borderId="7" xfId="4" applyNumberFormat="1" applyFont="1" applyFill="1" applyBorder="1" applyAlignment="1" applyProtection="1">
      <alignment horizontal="right" vertical="center" wrapText="1"/>
      <protection locked="0"/>
    </xf>
    <xf numFmtId="166" fontId="5" fillId="0" borderId="9" xfId="4" quotePrefix="1" applyNumberFormat="1" applyFont="1" applyFill="1" applyBorder="1" applyAlignment="1" applyProtection="1">
      <alignment horizontal="left" vertical="center" wrapText="1"/>
      <protection locked="0"/>
    </xf>
    <xf numFmtId="166" fontId="5" fillId="0" borderId="9" xfId="4" applyNumberFormat="1" applyFont="1" applyFill="1" applyBorder="1" applyAlignment="1" applyProtection="1">
      <alignment horizontal="left" vertical="center" wrapText="1"/>
      <protection locked="0"/>
    </xf>
    <xf numFmtId="165" fontId="5" fillId="0" borderId="36" xfId="4" applyNumberFormat="1" applyFont="1" applyFill="1" applyBorder="1" applyAlignment="1" applyProtection="1">
      <alignment horizontal="right" vertical="center" wrapText="1"/>
      <protection locked="0"/>
    </xf>
    <xf numFmtId="165" fontId="5" fillId="0" borderId="37" xfId="4" applyNumberFormat="1" applyFont="1" applyFill="1" applyBorder="1" applyAlignment="1" applyProtection="1">
      <alignment horizontal="right" vertical="center" wrapText="1"/>
      <protection locked="0"/>
    </xf>
    <xf numFmtId="166" fontId="5" fillId="0" borderId="38" xfId="4" applyNumberFormat="1" applyFont="1" applyFill="1" applyBorder="1" applyAlignment="1" applyProtection="1">
      <alignment horizontal="left" vertical="center" wrapText="1"/>
      <protection locked="0"/>
    </xf>
    <xf numFmtId="165" fontId="4" fillId="0" borderId="47" xfId="4" applyNumberFormat="1" applyFont="1" applyBorder="1" applyAlignment="1">
      <alignment horizontal="right" vertical="center"/>
    </xf>
    <xf numFmtId="0" fontId="4" fillId="0" borderId="47" xfId="4" applyFont="1" applyFill="1" applyBorder="1" applyAlignment="1">
      <alignment vertical="center" wrapText="1"/>
    </xf>
    <xf numFmtId="165" fontId="5" fillId="0" borderId="0" xfId="4" applyNumberFormat="1" applyFont="1" applyAlignment="1">
      <alignment vertical="center"/>
    </xf>
    <xf numFmtId="165" fontId="5" fillId="0" borderId="0" xfId="3" applyNumberFormat="1" applyFont="1" applyAlignment="1">
      <alignment vertical="center"/>
    </xf>
    <xf numFmtId="165" fontId="5" fillId="0" borderId="48" xfId="4" applyNumberFormat="1" applyFont="1" applyFill="1" applyBorder="1" applyAlignment="1" applyProtection="1">
      <alignment horizontal="right" vertical="center" wrapText="1"/>
      <protection locked="0"/>
    </xf>
    <xf numFmtId="166" fontId="5" fillId="0" borderId="49" xfId="4" applyNumberFormat="1" applyFont="1" applyFill="1" applyBorder="1" applyAlignment="1" applyProtection="1">
      <alignment horizontal="left" vertical="center" wrapText="1"/>
      <protection locked="0"/>
    </xf>
    <xf numFmtId="165" fontId="5" fillId="0" borderId="0" xfId="3" applyNumberFormat="1" applyFont="1" applyBorder="1" applyAlignment="1">
      <alignment vertical="center"/>
    </xf>
    <xf numFmtId="0" fontId="4" fillId="0" borderId="0" xfId="4" applyFont="1" applyAlignment="1">
      <alignment vertical="center" wrapText="1"/>
    </xf>
    <xf numFmtId="0" fontId="5" fillId="0" borderId="0" xfId="4" quotePrefix="1" applyFont="1" applyAlignment="1">
      <alignment vertical="center" wrapText="1"/>
    </xf>
    <xf numFmtId="165" fontId="4" fillId="0" borderId="50" xfId="4" applyNumberFormat="1" applyFont="1" applyFill="1" applyBorder="1" applyAlignment="1" applyProtection="1">
      <alignment horizontal="right" vertical="center" wrapText="1"/>
      <protection locked="0"/>
    </xf>
    <xf numFmtId="166" fontId="4" fillId="0" borderId="50" xfId="4" applyNumberFormat="1" applyFont="1" applyFill="1" applyBorder="1" applyAlignment="1" applyProtection="1">
      <alignment horizontal="left" vertical="center" wrapText="1"/>
      <protection locked="0"/>
    </xf>
    <xf numFmtId="0" fontId="6" fillId="2" borderId="42" xfId="4" applyFont="1" applyFill="1" applyBorder="1" applyAlignment="1">
      <alignment horizontal="center" vertical="center" wrapText="1"/>
    </xf>
    <xf numFmtId="0" fontId="6" fillId="2" borderId="43" xfId="4" applyFont="1" applyFill="1" applyBorder="1" applyAlignment="1">
      <alignment horizontal="center" vertical="center" wrapText="1"/>
    </xf>
    <xf numFmtId="0" fontId="0" fillId="0" borderId="0" xfId="0" applyAlignment="1"/>
    <xf numFmtId="3" fontId="2" fillId="0" borderId="0" xfId="4" applyNumberFormat="1" applyFont="1" applyAlignment="1">
      <alignment vertical="center" wrapText="1"/>
    </xf>
    <xf numFmtId="0" fontId="2" fillId="0" borderId="0" xfId="4" applyFont="1" applyAlignment="1">
      <alignment horizontal="right" vertical="center" wrapText="1"/>
    </xf>
    <xf numFmtId="165" fontId="4" fillId="0" borderId="1" xfId="4" applyNumberFormat="1" applyFont="1" applyFill="1" applyBorder="1" applyAlignment="1">
      <alignment vertical="center" wrapText="1"/>
    </xf>
    <xf numFmtId="165" fontId="4" fillId="0" borderId="2" xfId="4" applyNumberFormat="1" applyFont="1" applyFill="1" applyBorder="1" applyAlignment="1">
      <alignment vertical="center" wrapText="1"/>
    </xf>
    <xf numFmtId="165" fontId="5" fillId="0" borderId="4" xfId="4" applyNumberFormat="1" applyFont="1" applyFill="1" applyBorder="1" applyAlignment="1">
      <alignment vertical="center" wrapText="1"/>
    </xf>
    <xf numFmtId="165" fontId="5" fillId="0" borderId="5" xfId="4" applyNumberFormat="1" applyFont="1" applyFill="1" applyBorder="1" applyAlignment="1">
      <alignment vertical="center" wrapText="1"/>
    </xf>
    <xf numFmtId="0" fontId="5" fillId="0" borderId="6" xfId="4" applyFont="1" applyBorder="1" applyAlignment="1">
      <alignment vertical="center" wrapText="1"/>
    </xf>
    <xf numFmtId="165" fontId="5" fillId="0" borderId="10" xfId="4" applyNumberFormat="1" applyFont="1" applyFill="1" applyBorder="1" applyAlignment="1">
      <alignment vertical="center" wrapText="1"/>
    </xf>
    <xf numFmtId="165" fontId="5" fillId="0" borderId="11" xfId="4" applyNumberFormat="1" applyFont="1" applyFill="1" applyBorder="1" applyAlignment="1">
      <alignment vertical="center" wrapText="1"/>
    </xf>
    <xf numFmtId="0" fontId="5" fillId="0" borderId="12" xfId="4" applyFont="1" applyBorder="1" applyAlignment="1">
      <alignment vertical="center" wrapText="1"/>
    </xf>
    <xf numFmtId="0" fontId="6" fillId="2" borderId="42" xfId="4" applyNumberFormat="1" applyFont="1" applyFill="1" applyBorder="1" applyAlignment="1">
      <alignment horizontal="right" vertical="center" wrapText="1"/>
    </xf>
    <xf numFmtId="0" fontId="6" fillId="2" borderId="43" xfId="4" applyNumberFormat="1" applyFont="1" applyFill="1" applyBorder="1" applyAlignment="1">
      <alignment horizontal="right" vertical="center" wrapText="1"/>
    </xf>
    <xf numFmtId="0" fontId="13" fillId="3" borderId="53" xfId="4" applyFont="1" applyFill="1" applyBorder="1" applyAlignment="1">
      <alignment vertical="center"/>
    </xf>
    <xf numFmtId="165" fontId="5" fillId="0" borderId="7" xfId="4" applyNumberFormat="1" applyFont="1" applyFill="1" applyBorder="1" applyAlignment="1">
      <alignment vertical="center" wrapText="1"/>
    </xf>
    <xf numFmtId="165" fontId="5" fillId="0" borderId="8" xfId="4" applyNumberFormat="1" applyFont="1" applyFill="1" applyBorder="1" applyAlignment="1">
      <alignment vertical="center" wrapText="1"/>
    </xf>
    <xf numFmtId="0" fontId="5" fillId="0" borderId="9" xfId="4" applyFont="1" applyBorder="1" applyAlignment="1">
      <alignment vertical="center" wrapText="1"/>
    </xf>
    <xf numFmtId="165" fontId="3" fillId="0" borderId="0" xfId="5" applyNumberFormat="1" applyFont="1" applyAlignment="1">
      <alignment vertical="center"/>
    </xf>
    <xf numFmtId="0" fontId="0" fillId="0" borderId="0" xfId="0" applyFont="1" applyFill="1" applyBorder="1" applyAlignment="1"/>
    <xf numFmtId="0" fontId="4" fillId="0" borderId="3" xfId="4" applyFont="1" applyFill="1" applyBorder="1" applyAlignment="1">
      <alignment vertical="center" wrapText="1"/>
    </xf>
    <xf numFmtId="0" fontId="5" fillId="0" borderId="6" xfId="4" quotePrefix="1" applyFont="1" applyFill="1" applyBorder="1" applyAlignment="1">
      <alignment vertical="center" wrapText="1"/>
    </xf>
    <xf numFmtId="0" fontId="5" fillId="0" borderId="9" xfId="4" quotePrefix="1" applyFont="1" applyFill="1" applyBorder="1" applyAlignment="1">
      <alignment vertical="center" wrapText="1"/>
    </xf>
    <xf numFmtId="0" fontId="5" fillId="0" borderId="12" xfId="4" quotePrefix="1" applyFont="1" applyFill="1" applyBorder="1" applyAlignment="1">
      <alignment vertical="center" wrapText="1"/>
    </xf>
    <xf numFmtId="165" fontId="5" fillId="0" borderId="1" xfId="4" applyNumberFormat="1" applyFont="1" applyFill="1" applyBorder="1" applyAlignment="1">
      <alignment vertical="center" wrapText="1"/>
    </xf>
    <xf numFmtId="0" fontId="5" fillId="0" borderId="3" xfId="4" applyFont="1" applyFill="1" applyBorder="1" applyAlignment="1">
      <alignment vertical="center" wrapText="1"/>
    </xf>
    <xf numFmtId="165" fontId="4" fillId="0" borderId="39" xfId="4" applyNumberFormat="1" applyFont="1" applyFill="1" applyBorder="1" applyAlignment="1">
      <alignment vertical="center" wrapText="1"/>
    </xf>
    <xf numFmtId="165" fontId="4" fillId="0" borderId="40" xfId="4" applyNumberFormat="1" applyFont="1" applyFill="1" applyBorder="1" applyAlignment="1">
      <alignment vertical="center" wrapText="1"/>
    </xf>
    <xf numFmtId="0" fontId="4" fillId="0" borderId="41" xfId="4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4" fillId="0" borderId="0" xfId="4" applyFont="1" applyFill="1" applyBorder="1" applyAlignment="1"/>
    <xf numFmtId="0" fontId="14" fillId="0" borderId="0" xfId="4" applyFont="1" applyFill="1" applyBorder="1" applyAlignment="1">
      <alignment wrapText="1"/>
    </xf>
    <xf numFmtId="165" fontId="14" fillId="0" borderId="0" xfId="4" applyNumberFormat="1" applyFont="1" applyFill="1" applyBorder="1" applyAlignment="1"/>
    <xf numFmtId="165" fontId="15" fillId="0" borderId="1" xfId="3" applyNumberFormat="1" applyFont="1" applyFill="1" applyBorder="1" applyAlignment="1">
      <alignment vertical="center"/>
    </xf>
    <xf numFmtId="165" fontId="15" fillId="0" borderId="2" xfId="3" applyNumberFormat="1" applyFont="1" applyFill="1" applyBorder="1" applyAlignment="1">
      <alignment vertical="center"/>
    </xf>
    <xf numFmtId="165" fontId="15" fillId="0" borderId="3" xfId="4" applyNumberFormat="1" applyFont="1" applyFill="1" applyBorder="1" applyAlignment="1">
      <alignment vertical="center" wrapText="1"/>
    </xf>
    <xf numFmtId="0" fontId="16" fillId="0" borderId="39" xfId="4" applyFont="1" applyFill="1" applyBorder="1" applyAlignment="1">
      <alignment horizontal="right" vertical="center" wrapText="1"/>
    </xf>
    <xf numFmtId="0" fontId="16" fillId="0" borderId="40" xfId="4" applyFont="1" applyFill="1" applyBorder="1" applyAlignment="1">
      <alignment horizontal="right" vertical="center" wrapText="1"/>
    </xf>
    <xf numFmtId="0" fontId="16" fillId="0" borderId="41" xfId="4" applyFont="1" applyFill="1" applyBorder="1" applyAlignment="1">
      <alignment horizontal="right" vertical="center" wrapText="1"/>
    </xf>
    <xf numFmtId="165" fontId="18" fillId="0" borderId="0" xfId="4" applyNumberFormat="1" applyFont="1" applyFill="1" applyBorder="1" applyAlignment="1"/>
    <xf numFmtId="0" fontId="18" fillId="0" borderId="0" xfId="4" applyFont="1" applyFill="1" applyBorder="1" applyAlignment="1">
      <alignment wrapText="1"/>
    </xf>
    <xf numFmtId="3" fontId="2" fillId="0" borderId="0" xfId="2" applyNumberFormat="1" applyFont="1" applyAlignment="1">
      <alignment vertical="center"/>
    </xf>
    <xf numFmtId="165" fontId="4" fillId="0" borderId="1" xfId="4" applyNumberFormat="1" applyFont="1" applyBorder="1" applyAlignment="1">
      <alignment horizontal="right" vertical="center"/>
    </xf>
    <xf numFmtId="165" fontId="4" fillId="0" borderId="2" xfId="4" applyNumberFormat="1" applyFont="1" applyFill="1" applyBorder="1" applyAlignment="1">
      <alignment horizontal="right" vertical="center"/>
    </xf>
    <xf numFmtId="0" fontId="5" fillId="0" borderId="0" xfId="2" applyFont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5" fillId="0" borderId="0" xfId="2" applyFont="1" applyAlignment="1">
      <alignment vertical="center" wrapText="1"/>
    </xf>
    <xf numFmtId="165" fontId="4" fillId="0" borderId="2" xfId="4" applyNumberFormat="1" applyFont="1" applyBorder="1" applyAlignment="1">
      <alignment horizontal="right" vertical="center"/>
    </xf>
    <xf numFmtId="165" fontId="5" fillId="0" borderId="4" xfId="2" quotePrefix="1" applyNumberFormat="1" applyFont="1" applyBorder="1" applyAlignment="1">
      <alignment horizontal="right" vertical="center" wrapText="1"/>
    </xf>
    <xf numFmtId="165" fontId="5" fillId="0" borderId="5" xfId="2" quotePrefix="1" applyNumberFormat="1" applyFont="1" applyBorder="1" applyAlignment="1">
      <alignment horizontal="right" vertical="center" wrapText="1"/>
    </xf>
    <xf numFmtId="0" fontId="5" fillId="0" borderId="6" xfId="2" quotePrefix="1" applyFont="1" applyBorder="1" applyAlignment="1">
      <alignment vertical="center" wrapText="1"/>
    </xf>
    <xf numFmtId="165" fontId="5" fillId="0" borderId="7" xfId="2" quotePrefix="1" applyNumberFormat="1" applyFont="1" applyBorder="1" applyAlignment="1">
      <alignment horizontal="right" vertical="center" wrapText="1"/>
    </xf>
    <xf numFmtId="165" fontId="5" fillId="0" borderId="8" xfId="2" quotePrefix="1" applyNumberFormat="1" applyFont="1" applyBorder="1" applyAlignment="1">
      <alignment horizontal="right" vertical="center" wrapText="1"/>
    </xf>
    <xf numFmtId="0" fontId="5" fillId="0" borderId="9" xfId="2" quotePrefix="1" applyFont="1" applyBorder="1" applyAlignment="1">
      <alignment vertical="center" wrapText="1"/>
    </xf>
    <xf numFmtId="165" fontId="5" fillId="0" borderId="36" xfId="2" quotePrefix="1" applyNumberFormat="1" applyFont="1" applyBorder="1" applyAlignment="1">
      <alignment horizontal="right" vertical="center" wrapText="1"/>
    </xf>
    <xf numFmtId="165" fontId="5" fillId="0" borderId="37" xfId="2" quotePrefix="1" applyNumberFormat="1" applyFont="1" applyBorder="1" applyAlignment="1">
      <alignment horizontal="right" vertical="center" wrapText="1"/>
    </xf>
    <xf numFmtId="0" fontId="5" fillId="0" borderId="38" xfId="2" quotePrefix="1" applyFont="1" applyBorder="1" applyAlignment="1">
      <alignment vertical="center" wrapText="1"/>
    </xf>
    <xf numFmtId="165" fontId="4" fillId="0" borderId="0" xfId="1" applyNumberFormat="1" applyFont="1" applyBorder="1" applyAlignment="1">
      <alignment horizontal="right" vertical="center"/>
    </xf>
    <xf numFmtId="0" fontId="4" fillId="0" borderId="0" xfId="2" applyFont="1" applyBorder="1" applyAlignment="1">
      <alignment vertical="center" wrapText="1"/>
    </xf>
    <xf numFmtId="165" fontId="5" fillId="0" borderId="7" xfId="2" applyNumberFormat="1" applyFont="1" applyBorder="1" applyAlignment="1">
      <alignment horizontal="right" vertical="center"/>
    </xf>
    <xf numFmtId="165" fontId="5" fillId="0" borderId="8" xfId="2" applyNumberFormat="1" applyFont="1" applyBorder="1" applyAlignment="1">
      <alignment horizontal="right" vertical="center"/>
    </xf>
    <xf numFmtId="165" fontId="5" fillId="0" borderId="36" xfId="2" applyNumberFormat="1" applyFont="1" applyBorder="1" applyAlignment="1">
      <alignment horizontal="right" vertical="center"/>
    </xf>
    <xf numFmtId="165" fontId="5" fillId="0" borderId="37" xfId="2" applyNumberFormat="1" applyFont="1" applyBorder="1" applyAlignment="1">
      <alignment horizontal="right" vertical="center"/>
    </xf>
    <xf numFmtId="0" fontId="2" fillId="0" borderId="0" xfId="2" applyFont="1" applyBorder="1" applyAlignment="1">
      <alignment vertical="center" wrapText="1"/>
    </xf>
    <xf numFmtId="3" fontId="2" fillId="0" borderId="0" xfId="2" applyNumberFormat="1" applyFont="1" applyBorder="1" applyAlignment="1">
      <alignment vertical="center" wrapText="1"/>
    </xf>
    <xf numFmtId="0" fontId="2" fillId="0" borderId="0" xfId="2" applyFont="1" applyAlignment="1">
      <alignment horizontal="right" vertical="center" wrapText="1"/>
    </xf>
    <xf numFmtId="3" fontId="9" fillId="0" borderId="0" xfId="2" applyNumberFormat="1" applyFont="1" applyBorder="1" applyAlignment="1">
      <alignment vertical="center" wrapText="1"/>
    </xf>
    <xf numFmtId="165" fontId="5" fillId="0" borderId="4" xfId="4" applyNumberFormat="1" applyFont="1" applyBorder="1" applyAlignment="1">
      <alignment horizontal="right" vertical="center"/>
    </xf>
    <xf numFmtId="165" fontId="5" fillId="0" borderId="5" xfId="4" applyNumberFormat="1" applyFont="1" applyFill="1" applyBorder="1" applyAlignment="1">
      <alignment horizontal="right" vertical="center"/>
    </xf>
    <xf numFmtId="0" fontId="5" fillId="0" borderId="6" xfId="4" quotePrefix="1" applyFont="1" applyBorder="1" applyAlignment="1">
      <alignment vertical="center" wrapText="1"/>
    </xf>
    <xf numFmtId="165" fontId="5" fillId="0" borderId="36" xfId="4" applyNumberFormat="1" applyFont="1" applyBorder="1" applyAlignment="1">
      <alignment horizontal="right" vertical="center"/>
    </xf>
    <xf numFmtId="165" fontId="5" fillId="0" borderId="37" xfId="4" applyNumberFormat="1" applyFont="1" applyFill="1" applyBorder="1" applyAlignment="1">
      <alignment horizontal="right" vertical="center"/>
    </xf>
    <xf numFmtId="0" fontId="5" fillId="0" borderId="38" xfId="4" quotePrefix="1" applyFont="1" applyBorder="1" applyAlignment="1">
      <alignment vertical="center" wrapText="1"/>
    </xf>
    <xf numFmtId="165" fontId="4" fillId="0" borderId="50" xfId="4" applyNumberFormat="1" applyFont="1" applyBorder="1" applyAlignment="1">
      <alignment horizontal="right" vertical="center"/>
    </xf>
    <xf numFmtId="0" fontId="4" fillId="0" borderId="50" xfId="4" applyFont="1" applyFill="1" applyBorder="1" applyAlignment="1">
      <alignment vertical="center" wrapText="1"/>
    </xf>
    <xf numFmtId="165" fontId="5" fillId="0" borderId="0" xfId="4" applyNumberFormat="1" applyFont="1" applyFill="1" applyBorder="1" applyAlignment="1">
      <alignment horizontal="right" vertical="center"/>
    </xf>
    <xf numFmtId="0" fontId="5" fillId="0" borderId="0" xfId="4" quotePrefix="1" applyFont="1" applyBorder="1" applyAlignment="1">
      <alignment vertical="center" wrapText="1"/>
    </xf>
    <xf numFmtId="165" fontId="5" fillId="0" borderId="7" xfId="4" applyNumberFormat="1" applyFont="1" applyBorder="1" applyAlignment="1">
      <alignment horizontal="right" vertical="center"/>
    </xf>
    <xf numFmtId="165" fontId="5" fillId="0" borderId="8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vertical="center" wrapText="1"/>
    </xf>
    <xf numFmtId="165" fontId="2" fillId="0" borderId="0" xfId="2" applyNumberFormat="1" applyFont="1" applyAlignment="1">
      <alignment horizontal="right" vertical="center"/>
    </xf>
    <xf numFmtId="3" fontId="9" fillId="0" borderId="0" xfId="2" applyNumberFormat="1" applyFont="1" applyAlignment="1">
      <alignment vertical="center"/>
    </xf>
    <xf numFmtId="165" fontId="5" fillId="0" borderId="10" xfId="4" applyNumberFormat="1" applyFont="1" applyBorder="1" applyAlignment="1">
      <alignment horizontal="right" vertical="center"/>
    </xf>
    <xf numFmtId="165" fontId="5" fillId="0" borderId="11" xfId="4" applyNumberFormat="1" applyFont="1" applyBorder="1" applyAlignment="1">
      <alignment horizontal="right" vertical="center"/>
    </xf>
    <xf numFmtId="165" fontId="4" fillId="0" borderId="1" xfId="2" applyNumberFormat="1" applyFont="1" applyBorder="1" applyAlignment="1">
      <alignment vertical="center"/>
    </xf>
    <xf numFmtId="165" fontId="4" fillId="0" borderId="2" xfId="2" applyNumberFormat="1" applyFont="1" applyBorder="1" applyAlignment="1">
      <alignment vertical="center"/>
    </xf>
    <xf numFmtId="0" fontId="4" fillId="0" borderId="3" xfId="2" applyFont="1" applyBorder="1" applyAlignment="1">
      <alignment vertical="center" wrapText="1"/>
    </xf>
    <xf numFmtId="165" fontId="4" fillId="0" borderId="2" xfId="2" applyNumberFormat="1" applyFont="1" applyFill="1" applyBorder="1" applyAlignment="1">
      <alignment vertical="center"/>
    </xf>
    <xf numFmtId="165" fontId="4" fillId="0" borderId="54" xfId="2" applyNumberFormat="1" applyFont="1" applyFill="1" applyBorder="1" applyAlignment="1">
      <alignment vertical="center"/>
    </xf>
    <xf numFmtId="165" fontId="5" fillId="0" borderId="55" xfId="2" applyNumberFormat="1" applyFont="1" applyFill="1" applyBorder="1" applyAlignment="1">
      <alignment vertical="center"/>
    </xf>
    <xf numFmtId="0" fontId="5" fillId="0" borderId="56" xfId="2" quotePrefix="1" applyFont="1" applyFill="1" applyBorder="1" applyAlignment="1">
      <alignment horizontal="left" vertical="center" wrapText="1"/>
    </xf>
    <xf numFmtId="165" fontId="4" fillId="0" borderId="7" xfId="2" applyNumberFormat="1" applyFont="1" applyBorder="1" applyAlignment="1">
      <alignment vertical="center"/>
    </xf>
    <xf numFmtId="165" fontId="5" fillId="0" borderId="8" xfId="2" applyNumberFormat="1" applyFont="1" applyBorder="1" applyAlignment="1">
      <alignment vertical="center"/>
    </xf>
    <xf numFmtId="165" fontId="5" fillId="0" borderId="8" xfId="2" applyNumberFormat="1" applyFont="1" applyFill="1" applyBorder="1" applyAlignment="1">
      <alignment vertical="center"/>
    </xf>
    <xf numFmtId="0" fontId="5" fillId="0" borderId="9" xfId="2" quotePrefix="1" applyFont="1" applyBorder="1" applyAlignment="1">
      <alignment horizontal="left" vertical="center" wrapText="1"/>
    </xf>
    <xf numFmtId="0" fontId="5" fillId="0" borderId="9" xfId="2" quotePrefix="1" applyFont="1" applyFill="1" applyBorder="1" applyAlignment="1">
      <alignment horizontal="left" vertical="center" wrapText="1"/>
    </xf>
    <xf numFmtId="165" fontId="4" fillId="0" borderId="10" xfId="2" applyNumberFormat="1" applyFont="1" applyBorder="1" applyAlignment="1">
      <alignment vertical="center"/>
    </xf>
    <xf numFmtId="165" fontId="5" fillId="0" borderId="11" xfId="2" applyNumberFormat="1" applyFont="1" applyBorder="1" applyAlignment="1">
      <alignment vertical="center"/>
    </xf>
    <xf numFmtId="165" fontId="5" fillId="0" borderId="11" xfId="2" applyNumberFormat="1" applyFont="1" applyFill="1" applyBorder="1" applyAlignment="1">
      <alignment vertical="center"/>
    </xf>
    <xf numFmtId="0" fontId="5" fillId="0" borderId="12" xfId="2" quotePrefix="1" applyFont="1" applyBorder="1" applyAlignment="1">
      <alignment vertical="center" wrapText="1"/>
    </xf>
    <xf numFmtId="165" fontId="4" fillId="0" borderId="54" xfId="2" applyNumberFormat="1" applyFont="1" applyBorder="1" applyAlignment="1">
      <alignment vertical="center"/>
    </xf>
    <xf numFmtId="165" fontId="5" fillId="0" borderId="55" xfId="2" applyNumberFormat="1" applyFont="1" applyBorder="1" applyAlignment="1">
      <alignment vertical="center"/>
    </xf>
    <xf numFmtId="0" fontId="5" fillId="0" borderId="56" xfId="2" quotePrefix="1" applyFont="1" applyBorder="1" applyAlignment="1">
      <alignment vertical="center" wrapText="1"/>
    </xf>
    <xf numFmtId="165" fontId="4" fillId="0" borderId="39" xfId="2" applyNumberFormat="1" applyFont="1" applyBorder="1" applyAlignment="1">
      <alignment vertical="center"/>
    </xf>
    <xf numFmtId="165" fontId="4" fillId="0" borderId="40" xfId="2" applyNumberFormat="1" applyFont="1" applyBorder="1" applyAlignment="1">
      <alignment vertical="center"/>
    </xf>
    <xf numFmtId="0" fontId="4" fillId="0" borderId="41" xfId="2" applyFont="1" applyBorder="1" applyAlignment="1">
      <alignment vertical="center" wrapText="1"/>
    </xf>
    <xf numFmtId="0" fontId="6" fillId="2" borderId="57" xfId="2" applyFont="1" applyFill="1" applyBorder="1" applyAlignment="1">
      <alignment horizontal="center" vertical="center" wrapText="1"/>
    </xf>
    <xf numFmtId="0" fontId="6" fillId="2" borderId="58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vertical="center" wrapText="1"/>
    </xf>
    <xf numFmtId="0" fontId="2" fillId="0" borderId="0" xfId="2" applyFont="1" applyBorder="1" applyAlignment="1">
      <alignment vertical="center"/>
    </xf>
    <xf numFmtId="166" fontId="2" fillId="0" borderId="0" xfId="2" applyNumberFormat="1" applyFont="1" applyFill="1" applyBorder="1" applyAlignment="1" applyProtection="1">
      <alignment horizontal="left" vertical="center" wrapText="1"/>
      <protection locked="0"/>
    </xf>
    <xf numFmtId="165" fontId="3" fillId="0" borderId="0" xfId="2" applyNumberFormat="1" applyFont="1" applyAlignment="1"/>
    <xf numFmtId="4" fontId="9" fillId="0" borderId="59" xfId="2" applyNumberFormat="1" applyFont="1" applyBorder="1" applyAlignment="1">
      <alignment horizontal="right" vertical="center" wrapText="1"/>
    </xf>
    <xf numFmtId="165" fontId="9" fillId="0" borderId="60" xfId="2" applyNumberFormat="1" applyFont="1" applyBorder="1" applyAlignment="1">
      <alignment horizontal="right" vertical="center" wrapText="1"/>
    </xf>
    <xf numFmtId="4" fontId="9" fillId="0" borderId="60" xfId="2" applyNumberFormat="1" applyFont="1" applyBorder="1" applyAlignment="1">
      <alignment horizontal="right" vertical="center" wrapText="1"/>
    </xf>
    <xf numFmtId="0" fontId="9" fillId="0" borderId="61" xfId="2" applyFont="1" applyFill="1" applyBorder="1" applyAlignment="1" applyProtection="1">
      <alignment vertical="center" wrapText="1"/>
      <protection locked="0"/>
    </xf>
    <xf numFmtId="4" fontId="2" fillId="0" borderId="59" xfId="2" applyNumberFormat="1" applyFont="1" applyBorder="1" applyAlignment="1">
      <alignment vertical="center"/>
    </xf>
    <xf numFmtId="165" fontId="2" fillId="0" borderId="60" xfId="2" applyNumberFormat="1" applyFont="1" applyBorder="1" applyAlignment="1">
      <alignment horizontal="right" vertical="center" wrapText="1"/>
    </xf>
    <xf numFmtId="4" fontId="2" fillId="0" borderId="60" xfId="2" applyNumberFormat="1" applyFont="1" applyBorder="1" applyAlignment="1">
      <alignment horizontal="right" vertical="center" wrapText="1"/>
    </xf>
    <xf numFmtId="0" fontId="2" fillId="0" borderId="61" xfId="2" applyFont="1" applyFill="1" applyBorder="1" applyAlignment="1" applyProtection="1">
      <alignment vertical="center" wrapText="1"/>
      <protection locked="0"/>
    </xf>
    <xf numFmtId="4" fontId="2" fillId="0" borderId="62" xfId="2" applyNumberFormat="1" applyFont="1" applyBorder="1" applyAlignment="1"/>
    <xf numFmtId="3" fontId="2" fillId="0" borderId="63" xfId="2" applyNumberFormat="1" applyFont="1" applyBorder="1" applyAlignment="1"/>
    <xf numFmtId="4" fontId="2" fillId="0" borderId="63" xfId="2" applyNumberFormat="1" applyFont="1" applyBorder="1" applyAlignment="1">
      <alignment horizontal="right" vertical="center" wrapText="1"/>
    </xf>
    <xf numFmtId="165" fontId="2" fillId="0" borderId="63" xfId="2" applyNumberFormat="1" applyFont="1" applyBorder="1" applyAlignment="1">
      <alignment horizontal="right" vertical="center" wrapText="1"/>
    </xf>
    <xf numFmtId="0" fontId="2" fillId="0" borderId="64" xfId="2" applyFont="1" applyFill="1" applyBorder="1" applyAlignment="1" applyProtection="1">
      <alignment vertical="center" wrapText="1"/>
      <protection locked="0"/>
    </xf>
    <xf numFmtId="4" fontId="2" fillId="0" borderId="65" xfId="2" applyNumberFormat="1" applyFont="1" applyBorder="1" applyAlignment="1"/>
    <xf numFmtId="3" fontId="2" fillId="0" borderId="66" xfId="2" applyNumberFormat="1" applyFont="1" applyBorder="1" applyAlignment="1"/>
    <xf numFmtId="4" fontId="2" fillId="0" borderId="66" xfId="2" applyNumberFormat="1" applyFont="1" applyBorder="1" applyAlignment="1">
      <alignment horizontal="right" vertical="center" wrapText="1"/>
    </xf>
    <xf numFmtId="165" fontId="2" fillId="0" borderId="66" xfId="2" applyNumberFormat="1" applyFont="1" applyBorder="1" applyAlignment="1">
      <alignment horizontal="right" vertical="center" wrapText="1"/>
    </xf>
    <xf numFmtId="0" fontId="2" fillId="0" borderId="67" xfId="2" applyFont="1" applyFill="1" applyBorder="1" applyAlignment="1" applyProtection="1">
      <alignment vertical="center" wrapText="1"/>
      <protection locked="0"/>
    </xf>
    <xf numFmtId="0" fontId="2" fillId="0" borderId="0" xfId="2" applyFont="1" applyBorder="1" applyAlignment="1"/>
    <xf numFmtId="4" fontId="2" fillId="0" borderId="68" xfId="2" applyNumberFormat="1" applyFont="1" applyBorder="1" applyAlignment="1"/>
    <xf numFmtId="3" fontId="2" fillId="0" borderId="69" xfId="2" applyNumberFormat="1" applyFont="1" applyBorder="1" applyAlignment="1"/>
    <xf numFmtId="4" fontId="2" fillId="0" borderId="69" xfId="2" applyNumberFormat="1" applyFont="1" applyBorder="1" applyAlignment="1">
      <alignment horizontal="right" vertical="center" wrapText="1"/>
    </xf>
    <xf numFmtId="165" fontId="2" fillId="0" borderId="69" xfId="2" applyNumberFormat="1" applyFont="1" applyBorder="1" applyAlignment="1">
      <alignment horizontal="right" vertical="center" wrapText="1"/>
    </xf>
    <xf numFmtId="0" fontId="2" fillId="0" borderId="70" xfId="2" applyFont="1" applyFill="1" applyBorder="1" applyAlignment="1" applyProtection="1">
      <alignment vertical="center" wrapText="1"/>
      <protection locked="0"/>
    </xf>
    <xf numFmtId="0" fontId="6" fillId="2" borderId="22" xfId="2" applyFont="1" applyFill="1" applyBorder="1" applyAlignment="1" applyProtection="1">
      <alignment horizontal="center" vertical="center" wrapText="1"/>
      <protection locked="0"/>
    </xf>
    <xf numFmtId="0" fontId="6" fillId="2" borderId="23" xfId="2" applyFont="1" applyFill="1" applyBorder="1" applyAlignment="1" applyProtection="1">
      <alignment horizontal="center" vertical="center" wrapText="1"/>
      <protection locked="0"/>
    </xf>
    <xf numFmtId="0" fontId="20" fillId="0" borderId="0" xfId="2" applyFont="1" applyAlignment="1">
      <alignment horizontal="right" vertical="center"/>
    </xf>
    <xf numFmtId="165" fontId="21" fillId="0" borderId="0" xfId="2" applyNumberFormat="1" applyFont="1" applyBorder="1" applyAlignment="1">
      <alignment horizontal="right" vertical="center" wrapText="1"/>
    </xf>
    <xf numFmtId="0" fontId="3" fillId="0" borderId="0" xfId="2" applyFont="1" applyAlignment="1">
      <alignment vertical="center"/>
    </xf>
    <xf numFmtId="0" fontId="2" fillId="0" borderId="0" xfId="2" applyFont="1" applyAlignment="1" applyProtection="1">
      <alignment vertical="center"/>
      <protection locked="0"/>
    </xf>
    <xf numFmtId="165" fontId="4" fillId="0" borderId="47" xfId="2" applyNumberFormat="1" applyFont="1" applyBorder="1" applyAlignment="1">
      <alignment horizontal="right" vertical="center" wrapText="1"/>
    </xf>
    <xf numFmtId="165" fontId="4" fillId="0" borderId="2" xfId="2" applyNumberFormat="1" applyFont="1" applyBorder="1" applyAlignment="1">
      <alignment horizontal="right" vertical="center" wrapText="1"/>
    </xf>
    <xf numFmtId="165" fontId="4" fillId="0" borderId="71" xfId="2" applyNumberFormat="1" applyFont="1" applyBorder="1" applyAlignment="1">
      <alignment horizontal="right" vertical="center" wrapText="1"/>
    </xf>
    <xf numFmtId="165" fontId="4" fillId="0" borderId="72" xfId="2" applyNumberFormat="1" applyFont="1" applyBorder="1" applyAlignment="1">
      <alignment horizontal="right" vertical="center" wrapText="1"/>
    </xf>
    <xf numFmtId="165" fontId="4" fillId="0" borderId="73" xfId="2" applyNumberFormat="1" applyFont="1" applyBorder="1" applyAlignment="1">
      <alignment horizontal="right" vertical="center" wrapText="1"/>
    </xf>
    <xf numFmtId="165" fontId="5" fillId="0" borderId="74" xfId="2" applyNumberFormat="1" applyFont="1" applyBorder="1" applyAlignment="1">
      <alignment horizontal="right" vertical="center" wrapText="1"/>
    </xf>
    <xf numFmtId="165" fontId="5" fillId="0" borderId="55" xfId="2" applyNumberFormat="1" applyFont="1" applyBorder="1" applyAlignment="1">
      <alignment horizontal="right" vertical="center" wrapText="1"/>
    </xf>
    <xf numFmtId="165" fontId="5" fillId="0" borderId="75" xfId="2" applyNumberFormat="1" applyFont="1" applyBorder="1" applyAlignment="1">
      <alignment horizontal="right" vertical="center" wrapText="1"/>
    </xf>
    <xf numFmtId="165" fontId="5" fillId="0" borderId="76" xfId="2" applyNumberFormat="1" applyFont="1" applyBorder="1" applyAlignment="1">
      <alignment horizontal="right" vertical="center" wrapText="1"/>
    </xf>
    <xf numFmtId="165" fontId="5" fillId="0" borderId="77" xfId="2" applyNumberFormat="1" applyFont="1" applyBorder="1" applyAlignment="1">
      <alignment horizontal="right" vertical="center" wrapText="1"/>
    </xf>
    <xf numFmtId="0" fontId="5" fillId="0" borderId="56" xfId="2" applyFont="1" applyBorder="1" applyAlignment="1">
      <alignment horizontal="center" vertical="center" wrapText="1"/>
    </xf>
    <xf numFmtId="165" fontId="5" fillId="0" borderId="78" xfId="2" applyNumberFormat="1" applyFont="1" applyBorder="1" applyAlignment="1">
      <alignment horizontal="right" vertical="center" wrapText="1"/>
    </xf>
    <xf numFmtId="165" fontId="5" fillId="0" borderId="8" xfId="2" applyNumberFormat="1" applyFont="1" applyBorder="1" applyAlignment="1">
      <alignment horizontal="right" vertical="center" wrapText="1"/>
    </xf>
    <xf numFmtId="165" fontId="5" fillId="0" borderId="79" xfId="2" applyNumberFormat="1" applyFont="1" applyBorder="1" applyAlignment="1">
      <alignment horizontal="right" vertical="center" wrapText="1"/>
    </xf>
    <xf numFmtId="165" fontId="5" fillId="0" borderId="80" xfId="2" applyNumberFormat="1" applyFont="1" applyBorder="1" applyAlignment="1">
      <alignment horizontal="right" vertical="center" wrapText="1"/>
    </xf>
    <xf numFmtId="165" fontId="5" fillId="0" borderId="80" xfId="2" applyNumberFormat="1" applyFont="1" applyFill="1" applyBorder="1" applyAlignment="1">
      <alignment horizontal="right" vertical="center" wrapText="1"/>
    </xf>
    <xf numFmtId="165" fontId="5" fillId="0" borderId="81" xfId="2" applyNumberFormat="1" applyFont="1" applyBorder="1" applyAlignment="1">
      <alignment horizontal="right" vertical="center" wrapText="1"/>
    </xf>
    <xf numFmtId="0" fontId="5" fillId="0" borderId="9" xfId="2" applyFont="1" applyFill="1" applyBorder="1" applyAlignment="1" applyProtection="1">
      <alignment horizontal="center" vertical="center" wrapText="1"/>
      <protection locked="0"/>
    </xf>
    <xf numFmtId="165" fontId="5" fillId="0" borderId="82" xfId="2" applyNumberFormat="1" applyFont="1" applyBorder="1" applyAlignment="1">
      <alignment horizontal="right" vertical="center" wrapText="1"/>
    </xf>
    <xf numFmtId="165" fontId="5" fillId="0" borderId="30" xfId="2" applyNumberFormat="1" applyFont="1" applyBorder="1" applyAlignment="1">
      <alignment horizontal="right" vertical="center" wrapText="1"/>
    </xf>
    <xf numFmtId="165" fontId="5" fillId="0" borderId="83" xfId="2" applyNumberFormat="1" applyFont="1" applyBorder="1" applyAlignment="1">
      <alignment horizontal="right" vertical="center" wrapText="1"/>
    </xf>
    <xf numFmtId="165" fontId="5" fillId="0" borderId="84" xfId="2" applyNumberFormat="1" applyFont="1" applyBorder="1" applyAlignment="1">
      <alignment horizontal="right" vertical="center" wrapText="1"/>
    </xf>
    <xf numFmtId="165" fontId="5" fillId="0" borderId="85" xfId="2" applyNumberFormat="1" applyFont="1" applyBorder="1" applyAlignment="1">
      <alignment horizontal="right" vertical="center" wrapText="1"/>
    </xf>
    <xf numFmtId="0" fontId="5" fillId="0" borderId="31" xfId="2" applyFont="1" applyFill="1" applyBorder="1" applyAlignment="1" applyProtection="1">
      <alignment horizontal="center" vertical="center" wrapText="1"/>
      <protection locked="0"/>
    </xf>
    <xf numFmtId="0" fontId="22" fillId="2" borderId="89" xfId="2" applyFont="1" applyFill="1" applyBorder="1" applyAlignment="1" applyProtection="1">
      <alignment horizontal="center" vertical="center" wrapText="1"/>
      <protection locked="0"/>
    </xf>
    <xf numFmtId="0" fontId="6" fillId="2" borderId="95" xfId="2" applyFont="1" applyFill="1" applyBorder="1" applyAlignment="1" applyProtection="1">
      <alignment horizontal="center" vertical="center" wrapText="1"/>
      <protection locked="0"/>
    </xf>
    <xf numFmtId="0" fontId="6" fillId="2" borderId="52" xfId="2" applyFont="1" applyFill="1" applyBorder="1" applyAlignment="1" applyProtection="1">
      <alignment horizontal="center" vertical="center" wrapText="1"/>
      <protection locked="0"/>
    </xf>
    <xf numFmtId="2" fontId="6" fillId="2" borderId="101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Border="1" applyAlignment="1">
      <alignment horizontal="center" vertical="center" wrapText="1"/>
    </xf>
    <xf numFmtId="165" fontId="3" fillId="0" borderId="0" xfId="2" applyNumberFormat="1" applyFont="1" applyBorder="1" applyAlignment="1">
      <alignment vertical="center"/>
    </xf>
    <xf numFmtId="165" fontId="5" fillId="0" borderId="102" xfId="2" applyNumberFormat="1" applyFont="1" applyBorder="1" applyAlignment="1">
      <alignment horizontal="right" vertical="center" wrapText="1"/>
    </xf>
    <xf numFmtId="165" fontId="5" fillId="0" borderId="11" xfId="2" applyNumberFormat="1" applyFont="1" applyBorder="1" applyAlignment="1">
      <alignment horizontal="right" vertical="center" wrapText="1"/>
    </xf>
    <xf numFmtId="165" fontId="5" fillId="0" borderId="103" xfId="2" applyNumberFormat="1" applyFont="1" applyBorder="1" applyAlignment="1">
      <alignment horizontal="right" vertical="center" wrapText="1"/>
    </xf>
    <xf numFmtId="165" fontId="5" fillId="0" borderId="104" xfId="2" applyNumberFormat="1" applyFont="1" applyBorder="1" applyAlignment="1">
      <alignment horizontal="right" vertical="center" wrapText="1"/>
    </xf>
    <xf numFmtId="165" fontId="5" fillId="0" borderId="105" xfId="2" applyNumberFormat="1" applyFont="1" applyBorder="1" applyAlignment="1">
      <alignment horizontal="right" vertical="center" wrapText="1"/>
    </xf>
    <xf numFmtId="0" fontId="5" fillId="0" borderId="12" xfId="2" applyFont="1" applyFill="1" applyBorder="1" applyAlignment="1" applyProtection="1">
      <alignment horizontal="center" vertical="center" wrapText="1"/>
      <protection locked="0"/>
    </xf>
    <xf numFmtId="0" fontId="22" fillId="2" borderId="109" xfId="2" applyFont="1" applyFill="1" applyBorder="1" applyAlignment="1" applyProtection="1">
      <alignment horizontal="center" vertical="center" wrapText="1"/>
      <protection locked="0"/>
    </xf>
    <xf numFmtId="165" fontId="2" fillId="0" borderId="0" xfId="2" applyNumberFormat="1" applyFont="1" applyBorder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center" wrapText="1"/>
    </xf>
    <xf numFmtId="0" fontId="2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65" fontId="5" fillId="0" borderId="114" xfId="2" applyNumberFormat="1" applyFont="1" applyBorder="1" applyAlignment="1">
      <alignment horizontal="right" vertical="center" wrapText="1"/>
    </xf>
    <xf numFmtId="165" fontId="4" fillId="0" borderId="115" xfId="2" applyNumberFormat="1" applyFont="1" applyBorder="1" applyAlignment="1">
      <alignment horizontal="right" vertical="center" wrapText="1"/>
    </xf>
    <xf numFmtId="165" fontId="5" fillId="0" borderId="116" xfId="2" applyNumberFormat="1" applyFont="1" applyBorder="1" applyAlignment="1">
      <alignment horizontal="right" vertical="center" wrapText="1"/>
    </xf>
    <xf numFmtId="165" fontId="5" fillId="0" borderId="117" xfId="2" applyNumberFormat="1" applyFont="1" applyBorder="1" applyAlignment="1">
      <alignment horizontal="right" vertical="center" wrapText="1"/>
    </xf>
    <xf numFmtId="165" fontId="5" fillId="0" borderId="118" xfId="2" applyNumberFormat="1" applyFont="1" applyBorder="1" applyAlignment="1">
      <alignment horizontal="right" vertical="center" wrapText="1"/>
    </xf>
    <xf numFmtId="165" fontId="5" fillId="0" borderId="119" xfId="2" applyNumberFormat="1" applyFont="1" applyBorder="1" applyAlignment="1">
      <alignment horizontal="right" vertical="center" wrapText="1"/>
    </xf>
    <xf numFmtId="165" fontId="5" fillId="0" borderId="120" xfId="2" applyNumberFormat="1" applyFont="1" applyBorder="1" applyAlignment="1">
      <alignment horizontal="right" vertical="center" wrapText="1"/>
    </xf>
    <xf numFmtId="0" fontId="5" fillId="0" borderId="6" xfId="2" applyFont="1" applyFill="1" applyBorder="1" applyAlignment="1" applyProtection="1">
      <alignment vertical="center" wrapText="1"/>
      <protection locked="0"/>
    </xf>
    <xf numFmtId="165" fontId="5" fillId="0" borderId="121" xfId="2" applyNumberFormat="1" applyFont="1" applyBorder="1" applyAlignment="1">
      <alignment horizontal="right" vertical="center" wrapText="1"/>
    </xf>
    <xf numFmtId="165" fontId="4" fillId="0" borderId="122" xfId="2" applyNumberFormat="1" applyFont="1" applyBorder="1" applyAlignment="1">
      <alignment horizontal="right" vertical="center" wrapText="1"/>
    </xf>
    <xf numFmtId="165" fontId="5" fillId="0" borderId="123" xfId="2" applyNumberFormat="1" applyFont="1" applyBorder="1" applyAlignment="1">
      <alignment horizontal="right" vertical="center" wrapText="1"/>
    </xf>
    <xf numFmtId="165" fontId="5" fillId="0" borderId="124" xfId="2" applyNumberFormat="1" applyFont="1" applyBorder="1" applyAlignment="1">
      <alignment horizontal="right" vertical="center" wrapText="1"/>
    </xf>
    <xf numFmtId="165" fontId="5" fillId="0" borderId="125" xfId="2" applyNumberFormat="1" applyFont="1" applyBorder="1" applyAlignment="1">
      <alignment horizontal="right" vertical="center" wrapText="1"/>
    </xf>
    <xf numFmtId="165" fontId="5" fillId="0" borderId="126" xfId="2" applyNumberFormat="1" applyFont="1" applyBorder="1" applyAlignment="1">
      <alignment horizontal="right" vertical="center" wrapText="1"/>
    </xf>
    <xf numFmtId="165" fontId="5" fillId="0" borderId="127" xfId="2" applyNumberFormat="1" applyFont="1" applyBorder="1" applyAlignment="1">
      <alignment horizontal="right" vertical="center" wrapText="1"/>
    </xf>
    <xf numFmtId="0" fontId="5" fillId="0" borderId="38" xfId="2" applyFont="1" applyFill="1" applyBorder="1" applyAlignment="1" applyProtection="1">
      <alignment vertical="center" wrapText="1"/>
      <protection locked="0"/>
    </xf>
    <xf numFmtId="0" fontId="5" fillId="0" borderId="49" xfId="2" applyFont="1" applyFill="1" applyBorder="1" applyAlignment="1" applyProtection="1">
      <alignment vertical="center"/>
      <protection locked="0"/>
    </xf>
    <xf numFmtId="0" fontId="5" fillId="0" borderId="0" xfId="2" applyFont="1" applyFill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vertical="center"/>
      <protection locked="0"/>
    </xf>
    <xf numFmtId="2" fontId="6" fillId="2" borderId="15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Font="1">
      <alignment vertical="center"/>
    </xf>
    <xf numFmtId="0" fontId="2" fillId="0" borderId="0" xfId="2" applyFont="1" applyBorder="1">
      <alignment vertical="center"/>
    </xf>
    <xf numFmtId="0" fontId="2" fillId="0" borderId="0" xfId="2" applyFont="1" applyBorder="1" applyAlignment="1">
      <alignment horizontal="right"/>
    </xf>
    <xf numFmtId="165" fontId="3" fillId="0" borderId="0" xfId="2" applyNumberFormat="1" applyFont="1" applyBorder="1">
      <alignment vertical="center"/>
    </xf>
    <xf numFmtId="0" fontId="3" fillId="0" borderId="0" xfId="2" applyFont="1" applyBorder="1">
      <alignment vertical="center"/>
    </xf>
    <xf numFmtId="0" fontId="3" fillId="0" borderId="0" xfId="2" applyFont="1" applyBorder="1" applyAlignment="1">
      <alignment horizontal="right"/>
    </xf>
    <xf numFmtId="0" fontId="2" fillId="0" borderId="0" xfId="2" applyFont="1" applyFill="1" applyBorder="1">
      <alignment vertical="center"/>
    </xf>
    <xf numFmtId="165" fontId="24" fillId="0" borderId="0" xfId="2" applyNumberFormat="1" applyFont="1" applyBorder="1" applyAlignment="1">
      <alignment horizontal="right" vertical="center" wrapText="1"/>
    </xf>
    <xf numFmtId="0" fontId="24" fillId="0" borderId="0" xfId="2" applyFont="1" applyBorder="1" applyAlignment="1">
      <alignment vertical="center" wrapText="1"/>
    </xf>
    <xf numFmtId="165" fontId="9" fillId="0" borderId="1" xfId="2" applyNumberFormat="1" applyFont="1" applyFill="1" applyBorder="1" applyAlignment="1">
      <alignment horizontal="right" vertical="center" wrapText="1"/>
    </xf>
    <xf numFmtId="165" fontId="9" fillId="0" borderId="2" xfId="2" applyNumberFormat="1" applyFont="1" applyFill="1" applyBorder="1" applyAlignment="1">
      <alignment horizontal="right" vertical="center" wrapText="1"/>
    </xf>
    <xf numFmtId="0" fontId="9" fillId="0" borderId="3" xfId="2" applyFont="1" applyBorder="1" applyAlignment="1">
      <alignment vertical="center" wrapText="1"/>
    </xf>
    <xf numFmtId="165" fontId="2" fillId="0" borderId="54" xfId="2" applyNumberFormat="1" applyFont="1" applyFill="1" applyBorder="1" applyAlignment="1">
      <alignment vertical="center"/>
    </xf>
    <xf numFmtId="165" fontId="2" fillId="0" borderId="55" xfId="2" applyNumberFormat="1" applyFont="1" applyFill="1" applyBorder="1" applyAlignment="1">
      <alignment horizontal="right" vertical="center" wrapText="1"/>
    </xf>
    <xf numFmtId="0" fontId="2" fillId="0" borderId="56" xfId="2" applyFont="1" applyBorder="1" applyAlignment="1">
      <alignment vertical="center" wrapText="1"/>
    </xf>
    <xf numFmtId="165" fontId="2" fillId="0" borderId="36" xfId="2" applyNumberFormat="1" applyFont="1" applyFill="1" applyBorder="1" applyAlignment="1">
      <alignment vertical="center"/>
    </xf>
    <xf numFmtId="165" fontId="2" fillId="0" borderId="37" xfId="2" applyNumberFormat="1" applyFont="1" applyFill="1" applyBorder="1" applyAlignment="1">
      <alignment horizontal="right" vertical="center" wrapText="1"/>
    </xf>
    <xf numFmtId="0" fontId="2" fillId="0" borderId="38" xfId="2" applyFont="1" applyBorder="1" applyAlignment="1">
      <alignment vertical="center" wrapText="1"/>
    </xf>
    <xf numFmtId="3" fontId="2" fillId="0" borderId="0" xfId="2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165" fontId="2" fillId="0" borderId="54" xfId="2" applyNumberFormat="1" applyFont="1" applyFill="1" applyBorder="1" applyAlignment="1">
      <alignment horizontal="right" vertical="center" wrapText="1"/>
    </xf>
    <xf numFmtId="0" fontId="2" fillId="0" borderId="56" xfId="2" applyFont="1" applyBorder="1" applyAlignment="1">
      <alignment horizontal="left" vertical="center" wrapText="1"/>
    </xf>
    <xf numFmtId="165" fontId="2" fillId="0" borderId="7" xfId="2" applyNumberFormat="1" applyFont="1" applyFill="1" applyBorder="1" applyAlignment="1">
      <alignment horizontal="right" vertical="center" wrapText="1"/>
    </xf>
    <xf numFmtId="165" fontId="2" fillId="0" borderId="8" xfId="2" applyNumberFormat="1" applyFont="1" applyFill="1" applyBorder="1" applyAlignment="1">
      <alignment horizontal="right" vertical="center" wrapText="1"/>
    </xf>
    <xf numFmtId="0" fontId="2" fillId="0" borderId="9" xfId="2" applyFont="1" applyBorder="1" applyAlignment="1">
      <alignment horizontal="left" vertical="center" wrapText="1"/>
    </xf>
    <xf numFmtId="0" fontId="2" fillId="0" borderId="9" xfId="2" applyFont="1" applyBorder="1" applyAlignment="1">
      <alignment vertical="center" wrapText="1"/>
    </xf>
    <xf numFmtId="165" fontId="2" fillId="0" borderId="10" xfId="2" applyNumberFormat="1" applyFont="1" applyFill="1" applyBorder="1" applyAlignment="1">
      <alignment horizontal="right" vertical="center" wrapText="1"/>
    </xf>
    <xf numFmtId="165" fontId="2" fillId="0" borderId="11" xfId="2" applyNumberFormat="1" applyFont="1" applyFill="1" applyBorder="1" applyAlignment="1">
      <alignment horizontal="right" vertical="center" wrapText="1"/>
    </xf>
    <xf numFmtId="0" fontId="2" fillId="0" borderId="12" xfId="2" applyFont="1" applyBorder="1" applyAlignment="1">
      <alignment vertical="center" wrapText="1"/>
    </xf>
    <xf numFmtId="0" fontId="26" fillId="0" borderId="0" xfId="2" applyFont="1" applyBorder="1" applyAlignment="1">
      <alignment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left" vertical="center" wrapText="1"/>
    </xf>
    <xf numFmtId="0" fontId="19" fillId="0" borderId="0" xfId="2" applyFont="1">
      <alignment vertical="center"/>
    </xf>
    <xf numFmtId="3" fontId="2" fillId="0" borderId="0" xfId="2" applyNumberFormat="1" applyFont="1" applyAlignment="1">
      <alignment horizontal="right" vertical="center" wrapText="1"/>
    </xf>
    <xf numFmtId="166" fontId="3" fillId="0" borderId="0" xfId="2" applyNumberFormat="1" applyFont="1" applyFill="1" applyBorder="1" applyAlignment="1" applyProtection="1">
      <alignment vertical="center"/>
      <protection locked="0"/>
    </xf>
    <xf numFmtId="3" fontId="12" fillId="0" borderId="0" xfId="2" quotePrefix="1" applyNumberFormat="1" applyFont="1" applyAlignment="1">
      <alignment horizontal="right" vertical="center" wrapText="1"/>
    </xf>
    <xf numFmtId="0" fontId="12" fillId="0" borderId="0" xfId="2" quotePrefix="1" applyFont="1" applyAlignment="1">
      <alignment vertical="center" wrapText="1"/>
    </xf>
    <xf numFmtId="165" fontId="16" fillId="0" borderId="1" xfId="2" applyNumberFormat="1" applyFont="1" applyBorder="1" applyAlignment="1">
      <alignment horizontal="right" vertical="center" wrapText="1"/>
    </xf>
    <xf numFmtId="165" fontId="16" fillId="0" borderId="2" xfId="2" applyNumberFormat="1" applyFont="1" applyBorder="1" applyAlignment="1">
      <alignment horizontal="right" vertical="center" wrapText="1"/>
    </xf>
    <xf numFmtId="165" fontId="16" fillId="0" borderId="3" xfId="2" applyNumberFormat="1" applyFont="1" applyBorder="1" applyAlignment="1">
      <alignment vertical="center" wrapText="1"/>
    </xf>
    <xf numFmtId="0" fontId="15" fillId="0" borderId="130" xfId="2" applyFont="1" applyBorder="1" applyAlignment="1">
      <alignment vertical="center"/>
    </xf>
    <xf numFmtId="0" fontId="15" fillId="0" borderId="131" xfId="2" applyFont="1" applyBorder="1" applyAlignment="1">
      <alignment vertical="center"/>
    </xf>
    <xf numFmtId="3" fontId="15" fillId="0" borderId="131" xfId="2" applyNumberFormat="1" applyFont="1" applyBorder="1" applyAlignment="1">
      <alignment horizontal="right" vertical="center" wrapText="1"/>
    </xf>
    <xf numFmtId="0" fontId="15" fillId="0" borderId="132" xfId="2" applyFont="1" applyBorder="1" applyAlignment="1">
      <alignment vertical="center" wrapText="1"/>
    </xf>
    <xf numFmtId="165" fontId="16" fillId="0" borderId="1" xfId="2" applyNumberFormat="1" applyFont="1" applyBorder="1" applyAlignment="1">
      <alignment horizontal="right" vertical="center"/>
    </xf>
    <xf numFmtId="165" fontId="15" fillId="0" borderId="2" xfId="2" applyNumberFormat="1" applyFont="1" applyBorder="1" applyAlignment="1">
      <alignment horizontal="right" vertical="center"/>
    </xf>
    <xf numFmtId="165" fontId="15" fillId="0" borderId="2" xfId="2" applyNumberFormat="1" applyFont="1" applyBorder="1" applyAlignment="1">
      <alignment horizontal="right" vertical="center" wrapText="1"/>
    </xf>
    <xf numFmtId="165" fontId="15" fillId="0" borderId="3" xfId="2" applyNumberFormat="1" applyFont="1" applyBorder="1" applyAlignment="1">
      <alignment vertical="center" wrapText="1"/>
    </xf>
    <xf numFmtId="165" fontId="15" fillId="0" borderId="39" xfId="1" quotePrefix="1" applyNumberFormat="1" applyFont="1" applyBorder="1" applyAlignment="1">
      <alignment horizontal="right" vertical="center"/>
    </xf>
    <xf numFmtId="165" fontId="15" fillId="0" borderId="40" xfId="1" quotePrefix="1" applyNumberFormat="1" applyFont="1" applyBorder="1" applyAlignment="1">
      <alignment horizontal="right" vertical="center"/>
    </xf>
    <xf numFmtId="165" fontId="15" fillId="0" borderId="41" xfId="1" applyNumberFormat="1" applyFont="1" applyBorder="1" applyAlignment="1">
      <alignment vertical="center"/>
    </xf>
    <xf numFmtId="165" fontId="15" fillId="0" borderId="36" xfId="1" quotePrefix="1" applyNumberFormat="1" applyFont="1" applyBorder="1" applyAlignment="1">
      <alignment horizontal="right" vertical="center"/>
    </xf>
    <xf numFmtId="165" fontId="15" fillId="0" borderId="37" xfId="1" quotePrefix="1" applyNumberFormat="1" applyFont="1" applyBorder="1" applyAlignment="1">
      <alignment horizontal="right" vertical="center"/>
    </xf>
    <xf numFmtId="165" fontId="15" fillId="0" borderId="38" xfId="1" applyNumberFormat="1" applyFont="1" applyBorder="1" applyAlignment="1">
      <alignment vertical="center"/>
    </xf>
    <xf numFmtId="165" fontId="15" fillId="0" borderId="39" xfId="2" quotePrefix="1" applyNumberFormat="1" applyFont="1" applyFill="1" applyBorder="1" applyAlignment="1">
      <alignment horizontal="right" vertical="center" wrapText="1"/>
    </xf>
    <xf numFmtId="165" fontId="15" fillId="0" borderId="40" xfId="2" quotePrefix="1" applyNumberFormat="1" applyFont="1" applyFill="1" applyBorder="1" applyAlignment="1">
      <alignment horizontal="right" vertical="center" wrapText="1"/>
    </xf>
    <xf numFmtId="165" fontId="15" fillId="0" borderId="41" xfId="2" quotePrefix="1" applyNumberFormat="1" applyFont="1" applyBorder="1" applyAlignment="1">
      <alignment horizontal="left" vertical="center" wrapText="1"/>
    </xf>
    <xf numFmtId="165" fontId="15" fillId="0" borderId="7" xfId="2" quotePrefix="1" applyNumberFormat="1" applyFont="1" applyFill="1" applyBorder="1" applyAlignment="1">
      <alignment horizontal="right" vertical="center" wrapText="1"/>
    </xf>
    <xf numFmtId="165" fontId="15" fillId="0" borderId="8" xfId="2" quotePrefix="1" applyNumberFormat="1" applyFont="1" applyFill="1" applyBorder="1" applyAlignment="1">
      <alignment horizontal="right" vertical="center" wrapText="1"/>
    </xf>
    <xf numFmtId="165" fontId="15" fillId="0" borderId="9" xfId="2" quotePrefix="1" applyNumberFormat="1" applyFont="1" applyBorder="1" applyAlignment="1">
      <alignment horizontal="left" vertical="center" wrapText="1"/>
    </xf>
    <xf numFmtId="165" fontId="15" fillId="0" borderId="7" xfId="2" applyNumberFormat="1" applyFont="1" applyFill="1" applyBorder="1" applyAlignment="1">
      <alignment horizontal="right" vertical="center" wrapText="1"/>
    </xf>
    <xf numFmtId="165" fontId="15" fillId="0" borderId="8" xfId="2" applyNumberFormat="1" applyFont="1" applyFill="1" applyBorder="1" applyAlignment="1">
      <alignment horizontal="right" vertical="center" wrapText="1"/>
    </xf>
    <xf numFmtId="165" fontId="15" fillId="0" borderId="9" xfId="2" applyNumberFormat="1" applyFont="1" applyFill="1" applyBorder="1" applyAlignment="1">
      <alignment horizontal="left" vertical="center" wrapText="1"/>
    </xf>
    <xf numFmtId="165" fontId="15" fillId="0" borderId="7" xfId="2" applyNumberFormat="1" applyFont="1" applyBorder="1" applyAlignment="1">
      <alignment horizontal="right" vertical="center" wrapText="1"/>
    </xf>
    <xf numFmtId="165" fontId="15" fillId="0" borderId="8" xfId="2" applyNumberFormat="1" applyFont="1" applyBorder="1" applyAlignment="1">
      <alignment horizontal="right" vertical="center" wrapText="1"/>
    </xf>
    <xf numFmtId="165" fontId="15" fillId="0" borderId="9" xfId="2" applyNumberFormat="1" applyFont="1" applyBorder="1" applyAlignment="1">
      <alignment horizontal="left" vertical="center" wrapText="1"/>
    </xf>
    <xf numFmtId="165" fontId="15" fillId="0" borderId="7" xfId="2" quotePrefix="1" applyNumberFormat="1" applyFont="1" applyBorder="1" applyAlignment="1">
      <alignment horizontal="right" vertical="center" wrapText="1"/>
    </xf>
    <xf numFmtId="165" fontId="15" fillId="0" borderId="8" xfId="2" quotePrefix="1" applyNumberFormat="1" applyFont="1" applyBorder="1" applyAlignment="1">
      <alignment horizontal="right" vertical="center" wrapText="1"/>
    </xf>
    <xf numFmtId="165" fontId="15" fillId="0" borderId="133" xfId="2" applyNumberFormat="1" applyFont="1" applyBorder="1" applyAlignment="1">
      <alignment horizontal="right" vertical="center" wrapText="1"/>
    </xf>
    <xf numFmtId="165" fontId="15" fillId="0" borderId="134" xfId="2" applyNumberFormat="1" applyFont="1" applyBorder="1" applyAlignment="1">
      <alignment horizontal="right" vertical="center" wrapText="1"/>
    </xf>
    <xf numFmtId="165" fontId="15" fillId="0" borderId="135" xfId="2" applyNumberFormat="1" applyFont="1" applyBorder="1" applyAlignment="1">
      <alignment horizontal="left" vertical="center" wrapText="1"/>
    </xf>
    <xf numFmtId="165" fontId="16" fillId="0" borderId="136" xfId="2" applyNumberFormat="1" applyFont="1" applyBorder="1" applyAlignment="1">
      <alignment horizontal="right" vertical="center" wrapText="1"/>
    </xf>
    <xf numFmtId="165" fontId="16" fillId="0" borderId="137" xfId="2" applyNumberFormat="1" applyFont="1" applyBorder="1" applyAlignment="1">
      <alignment horizontal="right" vertical="center" wrapText="1"/>
    </xf>
    <xf numFmtId="165" fontId="16" fillId="0" borderId="138" xfId="2" applyNumberFormat="1" applyFont="1" applyBorder="1" applyAlignment="1">
      <alignment vertical="center" wrapText="1"/>
    </xf>
    <xf numFmtId="14" fontId="6" fillId="2" borderId="139" xfId="2" applyNumberFormat="1" applyFont="1" applyFill="1" applyBorder="1" applyAlignment="1">
      <alignment horizontal="center" vertical="center" wrapText="1"/>
    </xf>
    <xf numFmtId="14" fontId="6" fillId="2" borderId="23" xfId="2" applyNumberFormat="1" applyFont="1" applyFill="1" applyBorder="1" applyAlignment="1">
      <alignment horizontal="center" vertical="center" wrapText="1"/>
    </xf>
    <xf numFmtId="0" fontId="6" fillId="2" borderId="52" xfId="2" applyFont="1" applyFill="1" applyBorder="1" applyAlignment="1">
      <alignment vertical="center" wrapText="1"/>
    </xf>
    <xf numFmtId="0" fontId="6" fillId="2" borderId="15" xfId="2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165" fontId="4" fillId="0" borderId="2" xfId="1" applyNumberFormat="1" applyFont="1" applyBorder="1" applyAlignment="1">
      <alignment horizontal="right" vertical="center"/>
    </xf>
    <xf numFmtId="0" fontId="4" fillId="0" borderId="3" xfId="2" applyFont="1" applyFill="1" applyBorder="1" applyAlignment="1">
      <alignment vertical="center" wrapText="1"/>
    </xf>
    <xf numFmtId="165" fontId="5" fillId="0" borderId="54" xfId="2" applyNumberFormat="1" applyFont="1" applyBorder="1" applyAlignment="1">
      <alignment horizontal="right" vertical="center"/>
    </xf>
    <xf numFmtId="165" fontId="5" fillId="0" borderId="55" xfId="2" applyNumberFormat="1" applyFont="1" applyBorder="1" applyAlignment="1">
      <alignment horizontal="right" vertical="center"/>
    </xf>
    <xf numFmtId="0" fontId="5" fillId="0" borderId="56" xfId="2" applyFont="1" applyBorder="1" applyAlignment="1">
      <alignment vertical="center" wrapText="1"/>
    </xf>
    <xf numFmtId="0" fontId="5" fillId="0" borderId="9" xfId="2" applyFont="1" applyBorder="1" applyAlignment="1">
      <alignment vertical="center" wrapText="1"/>
    </xf>
    <xf numFmtId="165" fontId="5" fillId="0" borderId="10" xfId="2" applyNumberFormat="1" applyFont="1" applyBorder="1" applyAlignment="1">
      <alignment horizontal="right" vertical="center"/>
    </xf>
    <xf numFmtId="165" fontId="5" fillId="0" borderId="11" xfId="2" applyNumberFormat="1" applyFont="1" applyBorder="1" applyAlignment="1">
      <alignment horizontal="right" vertical="center"/>
    </xf>
    <xf numFmtId="0" fontId="5" fillId="0" borderId="12" xfId="2" applyFont="1" applyBorder="1" applyAlignment="1">
      <alignment vertical="center" wrapText="1"/>
    </xf>
    <xf numFmtId="165" fontId="5" fillId="0" borderId="36" xfId="1" applyNumberFormat="1" applyFont="1" applyBorder="1" applyAlignment="1">
      <alignment horizontal="right" vertical="center"/>
    </xf>
    <xf numFmtId="165" fontId="5" fillId="0" borderId="37" xfId="1" applyNumberFormat="1" applyFont="1" applyBorder="1" applyAlignment="1">
      <alignment horizontal="right" vertical="center"/>
    </xf>
    <xf numFmtId="0" fontId="5" fillId="0" borderId="38" xfId="2" applyFont="1" applyFill="1" applyBorder="1" applyAlignment="1">
      <alignment vertical="center" wrapText="1"/>
    </xf>
    <xf numFmtId="165" fontId="4" fillId="0" borderId="141" xfId="1" applyNumberFormat="1" applyFont="1" applyBorder="1" applyAlignment="1">
      <alignment horizontal="right" vertical="center"/>
    </xf>
    <xf numFmtId="165" fontId="4" fillId="0" borderId="141" xfId="1" applyNumberFormat="1" applyFont="1" applyFill="1" applyBorder="1" applyAlignment="1">
      <alignment horizontal="right" vertical="center"/>
    </xf>
    <xf numFmtId="0" fontId="4" fillId="0" borderId="141" xfId="2" applyFont="1" applyFill="1" applyBorder="1" applyAlignment="1">
      <alignment vertical="center" wrapText="1"/>
    </xf>
    <xf numFmtId="165" fontId="5" fillId="0" borderId="142" xfId="2" applyNumberFormat="1" applyFont="1" applyBorder="1" applyAlignment="1">
      <alignment horizontal="right" vertical="center"/>
    </xf>
    <xf numFmtId="0" fontId="27" fillId="0" borderId="142" xfId="2" applyFont="1" applyBorder="1" applyAlignment="1">
      <alignment vertical="center" wrapText="1"/>
    </xf>
    <xf numFmtId="165" fontId="5" fillId="0" borderId="0" xfId="2" applyNumberFormat="1" applyFont="1" applyBorder="1" applyAlignment="1">
      <alignment horizontal="right" vertical="center"/>
    </xf>
    <xf numFmtId="0" fontId="27" fillId="0" borderId="0" xfId="2" applyFont="1" applyBorder="1" applyAlignment="1">
      <alignment vertical="center" wrapText="1"/>
    </xf>
    <xf numFmtId="165" fontId="4" fillId="0" borderId="50" xfId="1" applyNumberFormat="1" applyFont="1" applyBorder="1" applyAlignment="1">
      <alignment horizontal="right" vertical="center"/>
    </xf>
    <xf numFmtId="0" fontId="4" fillId="0" borderId="50" xfId="2" applyFont="1" applyFill="1" applyBorder="1" applyAlignment="1">
      <alignment vertical="center" wrapText="1"/>
    </xf>
    <xf numFmtId="165" fontId="5" fillId="0" borderId="141" xfId="2" applyNumberFormat="1" applyFont="1" applyBorder="1" applyAlignment="1">
      <alignment horizontal="right" vertical="center"/>
    </xf>
    <xf numFmtId="0" fontId="27" fillId="0" borderId="141" xfId="2" applyFont="1" applyBorder="1" applyAlignment="1">
      <alignment vertical="center" wrapText="1"/>
    </xf>
    <xf numFmtId="0" fontId="6" fillId="2" borderId="42" xfId="2" applyNumberFormat="1" applyFont="1" applyFill="1" applyBorder="1" applyAlignment="1">
      <alignment horizontal="right" vertical="center" wrapText="1"/>
    </xf>
    <xf numFmtId="0" fontId="6" fillId="2" borderId="43" xfId="2" applyNumberFormat="1" applyFont="1" applyFill="1" applyBorder="1" applyAlignment="1">
      <alignment horizontal="right" vertical="center" wrapText="1"/>
    </xf>
    <xf numFmtId="0" fontId="6" fillId="2" borderId="15" xfId="2" applyFont="1" applyFill="1" applyBorder="1" applyAlignment="1">
      <alignment horizontal="right" vertical="center" wrapText="1"/>
    </xf>
    <xf numFmtId="3" fontId="3" fillId="0" borderId="0" xfId="1" applyNumberFormat="1" applyFont="1" applyFill="1" applyAlignment="1">
      <alignment horizontal="right" vertical="center"/>
    </xf>
    <xf numFmtId="166" fontId="23" fillId="0" borderId="0" xfId="2" applyNumberFormat="1" applyFont="1" applyFill="1" applyBorder="1" applyAlignment="1" applyProtection="1">
      <alignment vertical="center"/>
      <protection locked="0"/>
    </xf>
    <xf numFmtId="3" fontId="9" fillId="0" borderId="0" xfId="2" applyNumberFormat="1" applyFont="1" applyFill="1" applyAlignment="1">
      <alignment horizontal="right" vertical="center" wrapText="1"/>
    </xf>
    <xf numFmtId="0" fontId="2" fillId="0" borderId="0" xfId="2" applyFont="1" applyFill="1" applyAlignment="1">
      <alignment vertical="center" wrapText="1"/>
    </xf>
    <xf numFmtId="165" fontId="4" fillId="0" borderId="1" xfId="2" applyNumberFormat="1" applyFont="1" applyBorder="1" applyAlignment="1">
      <alignment horizontal="right" vertical="center"/>
    </xf>
    <xf numFmtId="165" fontId="4" fillId="0" borderId="2" xfId="2" applyNumberFormat="1" applyFont="1" applyBorder="1" applyAlignment="1">
      <alignment horizontal="right" vertical="center"/>
    </xf>
    <xf numFmtId="165" fontId="4" fillId="0" borderId="0" xfId="2" applyNumberFormat="1" applyFont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0" fontId="9" fillId="0" borderId="0" xfId="2" applyFont="1" applyFill="1" applyAlignment="1">
      <alignment vertical="center" wrapText="1"/>
    </xf>
    <xf numFmtId="165" fontId="4" fillId="0" borderId="1" xfId="1" applyNumberFormat="1" applyFont="1" applyBorder="1" applyAlignment="1">
      <alignment vertical="center"/>
    </xf>
    <xf numFmtId="165" fontId="4" fillId="0" borderId="2" xfId="1" applyNumberFormat="1" applyFont="1" applyBorder="1" applyAlignment="1">
      <alignment vertical="center"/>
    </xf>
    <xf numFmtId="165" fontId="5" fillId="0" borderId="4" xfId="2" applyNumberFormat="1" applyFont="1" applyFill="1" applyBorder="1" applyAlignment="1">
      <alignment horizontal="right" vertical="center"/>
    </xf>
    <xf numFmtId="165" fontId="5" fillId="0" borderId="5" xfId="2" applyNumberFormat="1" applyFont="1" applyFill="1" applyBorder="1" applyAlignment="1">
      <alignment horizontal="right" vertical="center"/>
    </xf>
    <xf numFmtId="0" fontId="5" fillId="0" borderId="6" xfId="2" applyFont="1" applyBorder="1" applyAlignment="1">
      <alignment vertical="center" wrapText="1"/>
    </xf>
    <xf numFmtId="165" fontId="5" fillId="0" borderId="54" xfId="2" applyNumberFormat="1" applyFont="1" applyFill="1" applyBorder="1" applyAlignment="1">
      <alignment horizontal="right" vertical="center"/>
    </xf>
    <xf numFmtId="165" fontId="5" fillId="0" borderId="5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 wrapText="1"/>
    </xf>
    <xf numFmtId="165" fontId="5" fillId="0" borderId="143" xfId="2" applyNumberFormat="1" applyFont="1" applyFill="1" applyBorder="1" applyAlignment="1">
      <alignment horizontal="right" vertical="center"/>
    </xf>
    <xf numFmtId="165" fontId="5" fillId="0" borderId="144" xfId="2" applyNumberFormat="1" applyFont="1" applyFill="1" applyBorder="1" applyAlignment="1">
      <alignment horizontal="right" vertical="center"/>
    </xf>
    <xf numFmtId="0" fontId="5" fillId="0" borderId="145" xfId="2" applyFont="1" applyBorder="1" applyAlignment="1">
      <alignment vertical="center" wrapText="1"/>
    </xf>
    <xf numFmtId="165" fontId="5" fillId="0" borderId="7" xfId="2" applyNumberFormat="1" applyFont="1" applyFill="1" applyBorder="1" applyAlignment="1">
      <alignment horizontal="right" vertical="center"/>
    </xf>
    <xf numFmtId="165" fontId="5" fillId="0" borderId="8" xfId="2" applyNumberFormat="1" applyFont="1" applyFill="1" applyBorder="1" applyAlignment="1">
      <alignment horizontal="right" vertical="center"/>
    </xf>
    <xf numFmtId="165" fontId="5" fillId="0" borderId="10" xfId="2" applyNumberFormat="1" applyFont="1" applyFill="1" applyBorder="1" applyAlignment="1">
      <alignment horizontal="right" vertical="center"/>
    </xf>
    <xf numFmtId="165" fontId="5" fillId="0" borderId="11" xfId="2" applyNumberFormat="1" applyFont="1" applyFill="1" applyBorder="1" applyAlignment="1">
      <alignment horizontal="right" vertical="center"/>
    </xf>
    <xf numFmtId="0" fontId="6" fillId="2" borderId="15" xfId="2" applyNumberFormat="1" applyFont="1" applyFill="1" applyBorder="1" applyAlignment="1">
      <alignment horizontal="right" vertical="center" wrapText="1"/>
    </xf>
    <xf numFmtId="165" fontId="3" fillId="0" borderId="0" xfId="1" applyNumberFormat="1" applyFont="1"/>
    <xf numFmtId="0" fontId="9" fillId="0" borderId="0" xfId="2" applyFont="1" applyAlignment="1">
      <alignment wrapText="1"/>
    </xf>
    <xf numFmtId="165" fontId="4" fillId="0" borderId="1" xfId="1" applyNumberFormat="1" applyFont="1" applyFill="1" applyBorder="1" applyAlignment="1">
      <alignment horizontal="right" vertical="center"/>
    </xf>
    <xf numFmtId="165" fontId="4" fillId="0" borderId="2" xfId="1" applyNumberFormat="1" applyFont="1" applyFill="1" applyBorder="1" applyAlignment="1">
      <alignment horizontal="right" vertical="center"/>
    </xf>
    <xf numFmtId="165" fontId="5" fillId="0" borderId="54" xfId="2" applyNumberFormat="1" applyFont="1" applyFill="1" applyBorder="1" applyAlignment="1">
      <alignment vertical="center" wrapText="1"/>
    </xf>
    <xf numFmtId="165" fontId="5" fillId="0" borderId="55" xfId="2" applyNumberFormat="1" applyFont="1" applyFill="1" applyBorder="1" applyAlignment="1">
      <alignment vertical="center" wrapText="1"/>
    </xf>
    <xf numFmtId="0" fontId="5" fillId="0" borderId="56" xfId="2" applyFont="1" applyFill="1" applyBorder="1" applyAlignment="1">
      <alignment vertical="center" wrapText="1"/>
    </xf>
    <xf numFmtId="165" fontId="5" fillId="0" borderId="7" xfId="2" applyNumberFormat="1" applyFont="1" applyFill="1" applyBorder="1" applyAlignment="1">
      <alignment vertical="center" wrapText="1"/>
    </xf>
    <xf numFmtId="165" fontId="5" fillId="0" borderId="8" xfId="2" applyNumberFormat="1" applyFont="1" applyFill="1" applyBorder="1" applyAlignment="1">
      <alignment vertical="center" wrapText="1"/>
    </xf>
    <xf numFmtId="0" fontId="5" fillId="0" borderId="9" xfId="2" applyFont="1" applyFill="1" applyBorder="1" applyAlignment="1">
      <alignment vertical="center" wrapText="1"/>
    </xf>
    <xf numFmtId="0" fontId="5" fillId="0" borderId="9" xfId="2" quotePrefix="1" applyFont="1" applyFill="1" applyBorder="1" applyAlignment="1">
      <alignment vertical="center" wrapText="1"/>
    </xf>
    <xf numFmtId="165" fontId="5" fillId="0" borderId="9" xfId="1" applyNumberFormat="1" applyFont="1" applyFill="1" applyBorder="1" applyAlignment="1">
      <alignment horizontal="left" vertical="center" wrapText="1"/>
    </xf>
    <xf numFmtId="165" fontId="5" fillId="0" borderId="10" xfId="2" applyNumberFormat="1" applyFont="1" applyFill="1" applyBorder="1" applyAlignment="1">
      <alignment vertical="center" wrapText="1"/>
    </xf>
    <xf numFmtId="165" fontId="5" fillId="0" borderId="11" xfId="2" applyNumberFormat="1" applyFont="1" applyFill="1" applyBorder="1" applyAlignment="1">
      <alignment vertical="center" wrapText="1"/>
    </xf>
    <xf numFmtId="0" fontId="5" fillId="0" borderId="12" xfId="2" applyFont="1" applyFill="1" applyBorder="1" applyAlignment="1">
      <alignment vertical="center" wrapText="1"/>
    </xf>
    <xf numFmtId="14" fontId="6" fillId="2" borderId="13" xfId="2" applyNumberFormat="1" applyFont="1" applyFill="1" applyBorder="1" applyAlignment="1">
      <alignment horizontal="right" vertical="center" wrapText="1"/>
    </xf>
    <xf numFmtId="14" fontId="6" fillId="2" borderId="14" xfId="2" applyNumberFormat="1" applyFont="1" applyFill="1" applyBorder="1" applyAlignment="1">
      <alignment horizontal="right" vertical="center" wrapText="1"/>
    </xf>
    <xf numFmtId="0" fontId="7" fillId="2" borderId="15" xfId="2" applyFont="1" applyFill="1" applyBorder="1" applyAlignment="1">
      <alignment vertical="center"/>
    </xf>
    <xf numFmtId="0" fontId="2" fillId="0" borderId="0" xfId="2" applyFont="1" applyFill="1" applyBorder="1" applyAlignment="1"/>
    <xf numFmtId="165" fontId="2" fillId="0" borderId="0" xfId="2" applyNumberFormat="1" applyFont="1" applyFill="1" applyAlignment="1"/>
    <xf numFmtId="0" fontId="2" fillId="0" borderId="0" xfId="2" applyFont="1" applyFill="1" applyAlignment="1">
      <alignment wrapText="1"/>
    </xf>
    <xf numFmtId="165" fontId="2" fillId="0" borderId="0" xfId="2" applyNumberFormat="1" applyFont="1" applyFill="1" applyBorder="1" applyAlignment="1"/>
    <xf numFmtId="0" fontId="2" fillId="0" borderId="0" xfId="2" applyFont="1" applyFill="1" applyBorder="1" applyAlignment="1">
      <alignment wrapText="1"/>
    </xf>
    <xf numFmtId="165" fontId="3" fillId="0" borderId="0" xfId="2" applyNumberFormat="1" applyFont="1" applyFill="1" applyBorder="1" applyAlignment="1"/>
    <xf numFmtId="165" fontId="3" fillId="0" borderId="0" xfId="2" applyNumberFormat="1" applyFont="1" applyFill="1" applyAlignment="1"/>
    <xf numFmtId="0" fontId="3" fillId="0" borderId="0" xfId="2" applyFont="1" applyFill="1" applyAlignment="1">
      <alignment horizontal="right"/>
    </xf>
    <xf numFmtId="165" fontId="4" fillId="0" borderId="1" xfId="2" applyNumberFormat="1" applyFont="1" applyFill="1" applyBorder="1" applyAlignment="1">
      <alignment vertical="center"/>
    </xf>
    <xf numFmtId="165" fontId="5" fillId="0" borderId="39" xfId="2" applyNumberFormat="1" applyFont="1" applyFill="1" applyBorder="1" applyAlignment="1">
      <alignment vertical="center"/>
    </xf>
    <xf numFmtId="165" fontId="5" fillId="0" borderId="40" xfId="2" applyNumberFormat="1" applyFont="1" applyFill="1" applyBorder="1" applyAlignment="1">
      <alignment vertical="center"/>
    </xf>
    <xf numFmtId="0" fontId="5" fillId="0" borderId="41" xfId="2" quotePrefix="1" applyFont="1" applyFill="1" applyBorder="1" applyAlignment="1">
      <alignment vertical="center" wrapText="1"/>
    </xf>
    <xf numFmtId="165" fontId="5" fillId="0" borderId="36" xfId="2" applyNumberFormat="1" applyFont="1" applyFill="1" applyBorder="1" applyAlignment="1">
      <alignment vertical="center"/>
    </xf>
    <xf numFmtId="165" fontId="5" fillId="0" borderId="37" xfId="2" applyNumberFormat="1" applyFont="1" applyFill="1" applyBorder="1" applyAlignment="1">
      <alignment vertical="center"/>
    </xf>
    <xf numFmtId="0" fontId="5" fillId="0" borderId="38" xfId="2" quotePrefix="1" applyFont="1" applyFill="1" applyBorder="1" applyAlignment="1">
      <alignment vertical="center" wrapText="1"/>
    </xf>
    <xf numFmtId="165" fontId="5" fillId="0" borderId="7" xfId="2" applyNumberFormat="1" applyFont="1" applyFill="1" applyBorder="1" applyAlignment="1">
      <alignment vertical="center"/>
    </xf>
    <xf numFmtId="165" fontId="5" fillId="0" borderId="133" xfId="2" applyNumberFormat="1" applyFont="1" applyFill="1" applyBorder="1" applyAlignment="1">
      <alignment vertical="center"/>
    </xf>
    <xf numFmtId="165" fontId="5" fillId="0" borderId="134" xfId="2" applyNumberFormat="1" applyFont="1" applyFill="1" applyBorder="1" applyAlignment="1">
      <alignment vertical="center"/>
    </xf>
    <xf numFmtId="0" fontId="5" fillId="0" borderId="135" xfId="2" quotePrefix="1" applyFont="1" applyFill="1" applyBorder="1" applyAlignment="1">
      <alignment vertical="center" wrapText="1"/>
    </xf>
    <xf numFmtId="165" fontId="4" fillId="0" borderId="133" xfId="2" applyNumberFormat="1" applyFont="1" applyFill="1" applyBorder="1" applyAlignment="1">
      <alignment vertical="center"/>
    </xf>
    <xf numFmtId="165" fontId="4" fillId="0" borderId="39" xfId="2" applyNumberFormat="1" applyFont="1" applyFill="1" applyBorder="1" applyAlignment="1">
      <alignment vertical="center"/>
    </xf>
    <xf numFmtId="165" fontId="4" fillId="0" borderId="40" xfId="2" applyNumberFormat="1" applyFont="1" applyFill="1" applyBorder="1" applyAlignment="1">
      <alignment vertical="center"/>
    </xf>
    <xf numFmtId="0" fontId="4" fillId="0" borderId="41" xfId="2" applyFont="1" applyFill="1" applyBorder="1" applyAlignment="1">
      <alignment vertical="center" wrapText="1"/>
    </xf>
    <xf numFmtId="0" fontId="6" fillId="2" borderId="14" xfId="6" applyFont="1" applyFill="1" applyBorder="1" applyAlignment="1" applyProtection="1">
      <alignment horizontal="center" vertical="top" wrapText="1"/>
    </xf>
    <xf numFmtId="170" fontId="22" fillId="2" borderId="14" xfId="2" applyNumberFormat="1" applyFont="1" applyFill="1" applyBorder="1" applyAlignment="1">
      <alignment horizontal="center" vertical="top" wrapText="1"/>
    </xf>
    <xf numFmtId="0" fontId="6" fillId="2" borderId="43" xfId="6" applyFont="1" applyFill="1" applyBorder="1" applyAlignment="1" applyProtection="1">
      <alignment horizontal="center" vertical="top" wrapText="1"/>
    </xf>
    <xf numFmtId="165" fontId="5" fillId="0" borderId="12" xfId="1" applyNumberFormat="1" applyFont="1" applyFill="1" applyBorder="1" applyAlignment="1">
      <alignment horizontal="left" vertical="center" wrapText="1"/>
    </xf>
    <xf numFmtId="0" fontId="6" fillId="2" borderId="146" xfId="6" applyFont="1" applyFill="1" applyBorder="1" applyAlignment="1" applyProtection="1">
      <alignment horizontal="center" vertical="top" wrapText="1"/>
    </xf>
    <xf numFmtId="0" fontId="6" fillId="2" borderId="13" xfId="6" applyFont="1" applyFill="1" applyBorder="1" applyAlignment="1" applyProtection="1">
      <alignment horizontal="center" vertical="top" wrapText="1"/>
    </xf>
    <xf numFmtId="0" fontId="6" fillId="2" borderId="15" xfId="2" applyFont="1" applyFill="1" applyBorder="1" applyAlignment="1">
      <alignment vertical="top" wrapText="1"/>
    </xf>
    <xf numFmtId="165" fontId="5" fillId="0" borderId="54" xfId="2" quotePrefix="1" applyNumberFormat="1" applyFont="1" applyBorder="1" applyAlignment="1">
      <alignment horizontal="right" vertical="center" wrapText="1"/>
    </xf>
    <xf numFmtId="165" fontId="5" fillId="0" borderId="55" xfId="2" quotePrefix="1" applyNumberFormat="1" applyFont="1" applyFill="1" applyBorder="1" applyAlignment="1">
      <alignment horizontal="right" vertical="center" wrapText="1"/>
    </xf>
    <xf numFmtId="165" fontId="5" fillId="0" borderId="8" xfId="2" quotePrefix="1" applyNumberFormat="1" applyFont="1" applyFill="1" applyBorder="1" applyAlignment="1">
      <alignment horizontal="right" vertical="center" wrapText="1"/>
    </xf>
    <xf numFmtId="165" fontId="5" fillId="0" borderId="37" xfId="2" quotePrefix="1" applyNumberFormat="1" applyFont="1" applyFill="1" applyBorder="1" applyAlignment="1">
      <alignment horizontal="right" vertical="center" wrapText="1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165" fontId="4" fillId="0" borderId="39" xfId="1" applyNumberFormat="1" applyFont="1" applyBorder="1" applyAlignment="1">
      <alignment horizontal="right" vertical="center"/>
    </xf>
    <xf numFmtId="165" fontId="4" fillId="0" borderId="40" xfId="1" applyNumberFormat="1" applyFont="1" applyFill="1" applyBorder="1" applyAlignment="1">
      <alignment horizontal="right" vertical="center"/>
    </xf>
    <xf numFmtId="165" fontId="4" fillId="0" borderId="142" xfId="1" applyNumberFormat="1" applyFont="1" applyFill="1" applyBorder="1" applyAlignment="1">
      <alignment horizontal="right" vertical="center"/>
    </xf>
    <xf numFmtId="0" fontId="4" fillId="0" borderId="142" xfId="2" applyFont="1" applyFill="1" applyBorder="1" applyAlignment="1">
      <alignment vertical="center" wrapText="1"/>
    </xf>
    <xf numFmtId="0" fontId="23" fillId="0" borderId="0" xfId="2" applyFont="1" applyAlignment="1">
      <alignment vertical="center"/>
    </xf>
    <xf numFmtId="165" fontId="4" fillId="0" borderId="40" xfId="1" applyNumberFormat="1" applyFont="1" applyBorder="1" applyAlignment="1">
      <alignment horizontal="right" vertical="center"/>
    </xf>
    <xf numFmtId="165" fontId="5" fillId="0" borderId="1" xfId="2" applyNumberFormat="1" applyFont="1" applyFill="1" applyBorder="1" applyAlignment="1">
      <alignment horizontal="right" vertical="center"/>
    </xf>
    <xf numFmtId="165" fontId="5" fillId="0" borderId="2" xfId="2" applyNumberFormat="1" applyFont="1" applyFill="1" applyBorder="1" applyAlignment="1">
      <alignment horizontal="right" vertical="center"/>
    </xf>
    <xf numFmtId="0" fontId="5" fillId="0" borderId="3" xfId="2" applyFont="1" applyFill="1" applyBorder="1" applyAlignment="1">
      <alignment vertical="center" wrapText="1"/>
    </xf>
    <xf numFmtId="165" fontId="5" fillId="0" borderId="1" xfId="2" quotePrefix="1" applyNumberFormat="1" applyFont="1" applyFill="1" applyBorder="1" applyAlignment="1">
      <alignment vertical="center" wrapText="1"/>
    </xf>
    <xf numFmtId="165" fontId="5" fillId="0" borderId="2" xfId="2" quotePrefix="1" applyNumberFormat="1" applyFont="1" applyFill="1" applyBorder="1" applyAlignment="1">
      <alignment vertical="center" wrapText="1"/>
    </xf>
    <xf numFmtId="0" fontId="5" fillId="0" borderId="3" xfId="2" quotePrefix="1" applyFont="1" applyFill="1" applyBorder="1" applyAlignment="1">
      <alignment vertical="center" wrapText="1"/>
    </xf>
    <xf numFmtId="165" fontId="5" fillId="0" borderId="147" xfId="2" quotePrefix="1" applyNumberFormat="1" applyFont="1" applyFill="1" applyBorder="1" applyAlignment="1">
      <alignment vertical="center" wrapText="1"/>
    </xf>
    <xf numFmtId="0" fontId="5" fillId="0" borderId="147" xfId="2" quotePrefix="1" applyFont="1" applyFill="1" applyBorder="1" applyAlignment="1">
      <alignment vertical="center" wrapText="1"/>
    </xf>
    <xf numFmtId="165" fontId="4" fillId="0" borderId="1" xfId="2" quotePrefix="1" applyNumberFormat="1" applyFont="1" applyFill="1" applyBorder="1" applyAlignment="1">
      <alignment vertical="center" wrapText="1"/>
    </xf>
    <xf numFmtId="165" fontId="4" fillId="0" borderId="2" xfId="2" quotePrefix="1" applyNumberFormat="1" applyFont="1" applyFill="1" applyBorder="1" applyAlignment="1">
      <alignment vertical="center" wrapText="1"/>
    </xf>
    <xf numFmtId="0" fontId="4" fillId="0" borderId="3" xfId="2" quotePrefix="1" applyFont="1" applyFill="1" applyBorder="1" applyAlignment="1">
      <alignment vertical="center" wrapText="1"/>
    </xf>
    <xf numFmtId="165" fontId="5" fillId="0" borderId="4" xfId="2" quotePrefix="1" applyNumberFormat="1" applyFont="1" applyFill="1" applyBorder="1" applyAlignment="1">
      <alignment vertical="center" wrapText="1"/>
    </xf>
    <xf numFmtId="165" fontId="5" fillId="0" borderId="5" xfId="2" quotePrefix="1" applyNumberFormat="1" applyFont="1" applyFill="1" applyBorder="1" applyAlignment="1">
      <alignment vertical="center" wrapText="1"/>
    </xf>
    <xf numFmtId="0" fontId="5" fillId="0" borderId="6" xfId="2" quotePrefix="1" applyFont="1" applyFill="1" applyBorder="1" applyAlignment="1">
      <alignment vertical="center" wrapText="1"/>
    </xf>
    <xf numFmtId="165" fontId="5" fillId="0" borderId="7" xfId="2" quotePrefix="1" applyNumberFormat="1" applyFont="1" applyFill="1" applyBorder="1" applyAlignment="1">
      <alignment vertical="center" wrapText="1"/>
    </xf>
    <xf numFmtId="165" fontId="5" fillId="0" borderId="8" xfId="2" quotePrefix="1" applyNumberFormat="1" applyFont="1" applyFill="1" applyBorder="1" applyAlignment="1">
      <alignment vertical="center" wrapText="1"/>
    </xf>
    <xf numFmtId="165" fontId="5" fillId="0" borderId="142" xfId="2" applyNumberFormat="1" applyFont="1" applyBorder="1" applyAlignment="1">
      <alignment vertical="center" wrapText="1"/>
    </xf>
    <xf numFmtId="0" fontId="5" fillId="0" borderId="142" xfId="2" quotePrefix="1" applyFont="1" applyBorder="1" applyAlignment="1">
      <alignment vertical="center" wrapText="1"/>
    </xf>
    <xf numFmtId="165" fontId="5" fillId="0" borderId="7" xfId="2" applyNumberFormat="1" applyFont="1" applyBorder="1" applyAlignment="1">
      <alignment vertical="center" wrapText="1"/>
    </xf>
    <xf numFmtId="165" fontId="5" fillId="0" borderId="8" xfId="2" applyNumberFormat="1" applyFont="1" applyBorder="1" applyAlignment="1">
      <alignment vertical="center" wrapText="1"/>
    </xf>
    <xf numFmtId="165" fontId="5" fillId="0" borderId="1" xfId="2" applyNumberFormat="1" applyFont="1" applyBorder="1" applyAlignment="1">
      <alignment vertical="center" wrapText="1"/>
    </xf>
    <xf numFmtId="165" fontId="5" fillId="0" borderId="2" xfId="2" applyNumberFormat="1" applyFont="1" applyBorder="1" applyAlignment="1">
      <alignment vertical="center" wrapText="1"/>
    </xf>
    <xf numFmtId="0" fontId="5" fillId="0" borderId="3" xfId="2" applyFont="1" applyBorder="1" applyAlignment="1">
      <alignment vertical="center" wrapText="1"/>
    </xf>
    <xf numFmtId="3" fontId="2" fillId="0" borderId="0" xfId="2" quotePrefix="1" applyNumberFormat="1" applyFont="1" applyBorder="1" applyAlignment="1">
      <alignment vertical="center" wrapText="1"/>
    </xf>
    <xf numFmtId="165" fontId="2" fillId="0" borderId="0" xfId="2" quotePrefix="1" applyNumberFormat="1" applyFont="1" applyBorder="1" applyAlignment="1">
      <alignment vertical="center" wrapText="1"/>
    </xf>
    <xf numFmtId="165" fontId="2" fillId="0" borderId="0" xfId="2" applyNumberFormat="1" applyFont="1" applyBorder="1" applyAlignment="1">
      <alignment vertical="center"/>
    </xf>
    <xf numFmtId="165" fontId="2" fillId="0" borderId="0" xfId="2" applyNumberFormat="1" applyFont="1" applyBorder="1" applyAlignment="1">
      <alignment vertical="center" wrapText="1"/>
    </xf>
    <xf numFmtId="165" fontId="5" fillId="0" borderId="10" xfId="2" applyNumberFormat="1" applyFont="1" applyBorder="1" applyAlignment="1">
      <alignment vertical="center" wrapText="1"/>
    </xf>
    <xf numFmtId="165" fontId="5" fillId="0" borderId="11" xfId="2" applyNumberFormat="1" applyFont="1" applyBorder="1" applyAlignment="1">
      <alignment vertical="center" wrapText="1"/>
    </xf>
    <xf numFmtId="3" fontId="9" fillId="0" borderId="0" xfId="2" applyNumberFormat="1" applyFont="1" applyBorder="1" applyAlignment="1">
      <alignment vertical="center"/>
    </xf>
    <xf numFmtId="165" fontId="9" fillId="0" borderId="0" xfId="2" applyNumberFormat="1" applyFont="1" applyBorder="1" applyAlignment="1">
      <alignment vertical="center"/>
    </xf>
    <xf numFmtId="165" fontId="5" fillId="0" borderId="54" xfId="2" applyNumberFormat="1" applyFont="1" applyBorder="1" applyAlignment="1">
      <alignment vertical="center" wrapText="1"/>
    </xf>
    <xf numFmtId="165" fontId="5" fillId="0" borderId="55" xfId="2" applyNumberFormat="1" applyFont="1" applyBorder="1" applyAlignment="1">
      <alignment vertical="center" wrapText="1"/>
    </xf>
    <xf numFmtId="0" fontId="2" fillId="0" borderId="0" xfId="2" applyFont="1" applyFill="1" applyBorder="1" applyAlignment="1" applyProtection="1">
      <alignment vertical="center"/>
      <protection locked="0"/>
    </xf>
    <xf numFmtId="0" fontId="2" fillId="0" borderId="0" xfId="2" applyFont="1" applyFill="1" applyBorder="1" applyAlignment="1" applyProtection="1">
      <alignment horizontal="right" vertical="center"/>
      <protection locked="0"/>
    </xf>
    <xf numFmtId="165" fontId="3" fillId="0" borderId="0" xfId="2" applyNumberFormat="1" applyFont="1" applyFill="1" applyBorder="1" applyAlignment="1" applyProtection="1">
      <alignment horizontal="right" vertical="center"/>
      <protection locked="0"/>
    </xf>
    <xf numFmtId="3" fontId="10" fillId="0" borderId="0" xfId="0" applyNumberFormat="1" applyFont="1" applyAlignment="1">
      <alignment vertical="center"/>
    </xf>
    <xf numFmtId="165" fontId="3" fillId="0" borderId="0" xfId="2" applyNumberFormat="1" applyFont="1" applyFill="1" applyBorder="1" applyAlignment="1" applyProtection="1">
      <alignment vertical="center"/>
      <protection locked="0"/>
    </xf>
    <xf numFmtId="3" fontId="2" fillId="0" borderId="0" xfId="2" applyNumberFormat="1" applyFont="1" applyFill="1" applyBorder="1" applyAlignment="1" applyProtection="1">
      <alignment vertical="center"/>
      <protection locked="0"/>
    </xf>
    <xf numFmtId="3" fontId="4" fillId="0" borderId="1" xfId="2" applyNumberFormat="1" applyFont="1" applyFill="1" applyBorder="1" applyAlignment="1" applyProtection="1">
      <alignment horizontal="right" vertical="center"/>
      <protection locked="0"/>
    </xf>
    <xf numFmtId="3" fontId="5" fillId="0" borderId="148" xfId="2" applyNumberFormat="1" applyFont="1" applyFill="1" applyBorder="1" applyAlignment="1" applyProtection="1">
      <alignment horizontal="right" vertical="center" wrapText="1"/>
      <protection locked="0"/>
    </xf>
    <xf numFmtId="14" fontId="5" fillId="0" borderId="149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49" xfId="2" applyFont="1" applyFill="1" applyBorder="1" applyAlignment="1" applyProtection="1">
      <alignment horizontal="right" vertical="center" wrapText="1"/>
      <protection locked="0"/>
    </xf>
    <xf numFmtId="10" fontId="5" fillId="0" borderId="149" xfId="2" applyNumberFormat="1" applyFont="1" applyFill="1" applyBorder="1" applyAlignment="1" applyProtection="1">
      <alignment horizontal="right" vertical="center"/>
      <protection locked="0"/>
    </xf>
    <xf numFmtId="3" fontId="5" fillId="0" borderId="149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50" xfId="2" applyFont="1" applyFill="1" applyBorder="1" applyAlignment="1">
      <alignment vertical="center" wrapText="1"/>
    </xf>
    <xf numFmtId="3" fontId="5" fillId="0" borderId="7" xfId="2" applyNumberFormat="1" applyFont="1" applyFill="1" applyBorder="1" applyAlignment="1" applyProtection="1">
      <alignment horizontal="right" vertical="center" wrapText="1"/>
      <protection locked="0"/>
    </xf>
    <xf numFmtId="14" fontId="5" fillId="0" borderId="8" xfId="2" applyNumberFormat="1" applyFont="1" applyFill="1" applyBorder="1" applyAlignment="1" applyProtection="1">
      <alignment horizontal="right" vertical="center" wrapText="1"/>
      <protection locked="0"/>
    </xf>
    <xf numFmtId="10" fontId="5" fillId="0" borderId="8" xfId="2" applyNumberFormat="1" applyFont="1" applyFill="1" applyBorder="1" applyAlignment="1" applyProtection="1">
      <alignment horizontal="right" vertical="center"/>
      <protection locked="0"/>
    </xf>
    <xf numFmtId="3" fontId="5" fillId="0" borderId="8" xfId="2" applyNumberFormat="1" applyFont="1" applyFill="1" applyBorder="1" applyAlignment="1" applyProtection="1">
      <alignment horizontal="right" vertical="center" wrapText="1"/>
      <protection locked="0"/>
    </xf>
    <xf numFmtId="3" fontId="5" fillId="0" borderId="10" xfId="2" applyNumberFormat="1" applyFont="1" applyFill="1" applyBorder="1" applyAlignment="1" applyProtection="1">
      <alignment horizontal="right" vertical="center" wrapText="1"/>
      <protection locked="0"/>
    </xf>
    <xf numFmtId="14" fontId="5" fillId="0" borderId="11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2" applyFont="1" applyFill="1" applyBorder="1" applyAlignment="1" applyProtection="1">
      <alignment horizontal="right" vertical="center" wrapText="1"/>
      <protection locked="0"/>
    </xf>
    <xf numFmtId="10" fontId="5" fillId="0" borderId="11" xfId="2" applyNumberFormat="1" applyFont="1" applyFill="1" applyBorder="1" applyAlignment="1" applyProtection="1">
      <alignment horizontal="right" vertical="center"/>
      <protection locked="0"/>
    </xf>
    <xf numFmtId="3" fontId="5" fillId="0" borderId="11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2" xfId="2" quotePrefix="1" applyFont="1" applyFill="1" applyBorder="1" applyAlignment="1">
      <alignment vertical="center" wrapText="1"/>
    </xf>
    <xf numFmtId="3" fontId="4" fillId="0" borderId="39" xfId="2" applyNumberFormat="1" applyFont="1" applyFill="1" applyBorder="1" applyAlignment="1" applyProtection="1">
      <alignment horizontal="right" vertical="center" wrapText="1"/>
      <protection locked="0"/>
    </xf>
    <xf numFmtId="0" fontId="4" fillId="0" borderId="40" xfId="2" applyFont="1" applyFill="1" applyBorder="1" applyAlignment="1" applyProtection="1">
      <alignment horizontal="right" vertical="center" wrapText="1"/>
      <protection locked="0"/>
    </xf>
    <xf numFmtId="3" fontId="4" fillId="0" borderId="40" xfId="2" applyNumberFormat="1" applyFont="1" applyFill="1" applyBorder="1" applyAlignment="1" applyProtection="1">
      <alignment horizontal="right" vertical="center" wrapText="1"/>
      <protection locked="0"/>
    </xf>
    <xf numFmtId="49" fontId="4" fillId="0" borderId="41" xfId="2" applyNumberFormat="1" applyFont="1" applyFill="1" applyBorder="1" applyAlignment="1">
      <alignment horizontal="left" vertical="center" wrapText="1"/>
    </xf>
    <xf numFmtId="0" fontId="6" fillId="2" borderId="13" xfId="2" applyFont="1" applyFill="1" applyBorder="1" applyAlignment="1" applyProtection="1">
      <alignment horizontal="right" vertical="center" wrapText="1"/>
      <protection locked="0"/>
    </xf>
    <xf numFmtId="0" fontId="6" fillId="2" borderId="14" xfId="2" applyFont="1" applyFill="1" applyBorder="1" applyAlignment="1" applyProtection="1">
      <alignment horizontal="right" vertical="center" wrapText="1"/>
      <protection locked="0"/>
    </xf>
    <xf numFmtId="0" fontId="6" fillId="2" borderId="14" xfId="2" applyFont="1" applyFill="1" applyBorder="1" applyAlignment="1" applyProtection="1">
      <alignment horizontal="center" vertical="center" wrapText="1"/>
      <protection locked="0"/>
    </xf>
    <xf numFmtId="0" fontId="6" fillId="2" borderId="15" xfId="2" applyFont="1" applyFill="1" applyBorder="1" applyAlignment="1" applyProtection="1">
      <alignment horizontal="left" vertical="center" wrapText="1"/>
      <protection locked="0"/>
    </xf>
    <xf numFmtId="0" fontId="5" fillId="0" borderId="150" xfId="2" quotePrefix="1" applyFont="1" applyFill="1" applyBorder="1" applyAlignment="1">
      <alignment vertical="center" wrapText="1"/>
    </xf>
    <xf numFmtId="3" fontId="5" fillId="0" borderId="4" xfId="2" applyNumberFormat="1" applyFont="1" applyFill="1" applyBorder="1" applyAlignment="1" applyProtection="1">
      <alignment horizontal="right" vertical="center" wrapText="1"/>
      <protection locked="0"/>
    </xf>
    <xf numFmtId="14" fontId="5" fillId="0" borderId="5" xfId="2" applyNumberFormat="1" applyFont="1" applyFill="1" applyBorder="1" applyAlignment="1" applyProtection="1">
      <alignment horizontal="right" vertical="center" wrapText="1"/>
      <protection locked="0"/>
    </xf>
    <xf numFmtId="10" fontId="5" fillId="0" borderId="5" xfId="2" applyNumberFormat="1" applyFont="1" applyFill="1" applyBorder="1" applyAlignment="1" applyProtection="1">
      <alignment horizontal="right" vertical="center"/>
      <protection locked="0"/>
    </xf>
    <xf numFmtId="3" fontId="5" fillId="0" borderId="5" xfId="2" applyNumberFormat="1" applyFont="1" applyFill="1" applyBorder="1" applyAlignment="1" applyProtection="1">
      <alignment horizontal="right" vertical="center" wrapText="1"/>
      <protection locked="0"/>
    </xf>
    <xf numFmtId="166" fontId="4" fillId="0" borderId="0" xfId="2" applyNumberFormat="1" applyFont="1" applyFill="1" applyBorder="1" applyAlignment="1" applyProtection="1">
      <alignment horizontal="left" vertical="center" wrapText="1"/>
      <protection locked="0"/>
    </xf>
    <xf numFmtId="165" fontId="2" fillId="0" borderId="0" xfId="2" applyNumberFormat="1" applyFont="1" applyFill="1" applyBorder="1" applyAlignment="1" applyProtection="1">
      <alignment vertical="center"/>
      <protection locked="0"/>
    </xf>
    <xf numFmtId="3" fontId="5" fillId="0" borderId="54" xfId="2" applyNumberFormat="1" applyFont="1" applyFill="1" applyBorder="1" applyAlignment="1" applyProtection="1">
      <alignment vertical="center"/>
      <protection locked="0"/>
    </xf>
    <xf numFmtId="14" fontId="5" fillId="0" borderId="55" xfId="2" applyNumberFormat="1" applyFont="1" applyFill="1" applyBorder="1" applyAlignment="1" applyProtection="1">
      <alignment horizontal="right" vertical="center" wrapText="1"/>
      <protection locked="0"/>
    </xf>
    <xf numFmtId="10" fontId="5" fillId="0" borderId="55" xfId="2" applyNumberFormat="1" applyFont="1" applyFill="1" applyBorder="1" applyAlignment="1" applyProtection="1">
      <alignment horizontal="right" vertical="center"/>
      <protection locked="0"/>
    </xf>
    <xf numFmtId="171" fontId="5" fillId="0" borderId="55" xfId="2" applyNumberFormat="1" applyFont="1" applyFill="1" applyBorder="1" applyAlignment="1" applyProtection="1">
      <alignment horizontal="right" vertical="center"/>
      <protection locked="0"/>
    </xf>
    <xf numFmtId="3" fontId="5" fillId="0" borderId="55" xfId="2" applyNumberFormat="1" applyFont="1" applyFill="1" applyBorder="1" applyAlignment="1">
      <alignment horizontal="right" vertical="center"/>
    </xf>
    <xf numFmtId="3" fontId="5" fillId="0" borderId="7" xfId="2" applyNumberFormat="1" applyFont="1" applyFill="1" applyBorder="1" applyAlignment="1" applyProtection="1">
      <alignment vertical="center"/>
      <protection locked="0"/>
    </xf>
    <xf numFmtId="171" fontId="5" fillId="0" borderId="8" xfId="2" applyNumberFormat="1" applyFont="1" applyFill="1" applyBorder="1" applyAlignment="1" applyProtection="1">
      <alignment horizontal="right" vertical="center"/>
      <protection locked="0"/>
    </xf>
    <xf numFmtId="3" fontId="5" fillId="0" borderId="8" xfId="2" applyNumberFormat="1" applyFont="1" applyFill="1" applyBorder="1" applyAlignment="1">
      <alignment horizontal="right" vertical="center"/>
    </xf>
    <xf numFmtId="0" fontId="5" fillId="0" borderId="8" xfId="2" applyFont="1" applyFill="1" applyBorder="1" applyAlignment="1" applyProtection="1">
      <alignment horizontal="right" vertical="center" wrapText="1"/>
      <protection locked="0"/>
    </xf>
    <xf numFmtId="3" fontId="5" fillId="0" borderId="10" xfId="2" applyNumberFormat="1" applyFont="1" applyFill="1" applyBorder="1" applyAlignment="1" applyProtection="1">
      <alignment vertical="center"/>
      <protection locked="0"/>
    </xf>
    <xf numFmtId="171" fontId="5" fillId="0" borderId="11" xfId="2" applyNumberFormat="1" applyFont="1" applyFill="1" applyBorder="1" applyAlignment="1" applyProtection="1">
      <alignment horizontal="right" vertical="center"/>
      <protection locked="0"/>
    </xf>
    <xf numFmtId="3" fontId="5" fillId="0" borderId="11" xfId="2" applyNumberFormat="1" applyFont="1" applyFill="1" applyBorder="1" applyAlignment="1">
      <alignment horizontal="right" vertical="center"/>
    </xf>
    <xf numFmtId="171" fontId="5" fillId="0" borderId="5" xfId="2" applyNumberFormat="1" applyFont="1" applyFill="1" applyBorder="1" applyAlignment="1" applyProtection="1">
      <alignment horizontal="right" vertical="center"/>
      <protection locked="0"/>
    </xf>
    <xf numFmtId="14" fontId="9" fillId="0" borderId="0" xfId="2" applyNumberFormat="1" applyFont="1" applyAlignment="1">
      <alignment horizontal="right" vertical="center" wrapText="1"/>
    </xf>
    <xf numFmtId="0" fontId="9" fillId="0" borderId="0" xfId="2" applyFont="1" applyAlignment="1">
      <alignment horizontal="right" vertical="center" wrapText="1"/>
    </xf>
    <xf numFmtId="165" fontId="5" fillId="0" borderId="39" xfId="2" applyNumberFormat="1" applyFont="1" applyBorder="1" applyAlignment="1">
      <alignment horizontal="right" vertical="center"/>
    </xf>
    <xf numFmtId="165" fontId="5" fillId="0" borderId="40" xfId="2" applyNumberFormat="1" applyFont="1" applyBorder="1" applyAlignment="1">
      <alignment horizontal="right" vertical="center"/>
    </xf>
    <xf numFmtId="0" fontId="5" fillId="0" borderId="41" xfId="2" quotePrefix="1" applyFont="1" applyBorder="1" applyAlignment="1">
      <alignment vertical="center" wrapText="1"/>
    </xf>
    <xf numFmtId="165" fontId="5" fillId="0" borderId="133" xfId="2" applyNumberFormat="1" applyFont="1" applyBorder="1" applyAlignment="1">
      <alignment horizontal="right" vertical="center"/>
    </xf>
    <xf numFmtId="165" fontId="5" fillId="0" borderId="134" xfId="2" applyNumberFormat="1" applyFont="1" applyBorder="1" applyAlignment="1">
      <alignment horizontal="right" vertical="center"/>
    </xf>
    <xf numFmtId="0" fontId="5" fillId="0" borderId="135" xfId="2" quotePrefix="1" applyFont="1" applyBorder="1" applyAlignment="1">
      <alignment vertical="center" wrapText="1"/>
    </xf>
    <xf numFmtId="165" fontId="4" fillId="0" borderId="39" xfId="2" applyNumberFormat="1" applyFont="1" applyBorder="1" applyAlignment="1">
      <alignment horizontal="right" vertical="center"/>
    </xf>
    <xf numFmtId="165" fontId="4" fillId="0" borderId="40" xfId="2" applyNumberFormat="1" applyFont="1" applyBorder="1" applyAlignment="1">
      <alignment horizontal="right" vertical="center"/>
    </xf>
    <xf numFmtId="0" fontId="4" fillId="0" borderId="41" xfId="2" quotePrefix="1" applyFont="1" applyBorder="1" applyAlignment="1">
      <alignment vertical="center" wrapText="1"/>
    </xf>
    <xf numFmtId="0" fontId="2" fillId="0" borderId="0" xfId="2" applyFont="1" applyFill="1" applyAlignment="1" applyProtection="1">
      <alignment vertical="center"/>
      <protection locked="0"/>
    </xf>
    <xf numFmtId="165" fontId="3" fillId="0" borderId="0" xfId="2" applyNumberFormat="1" applyFont="1" applyFill="1" applyAlignment="1" applyProtection="1">
      <alignment vertical="center"/>
      <protection locked="0"/>
    </xf>
    <xf numFmtId="0" fontId="3" fillId="0" borderId="0" xfId="2" applyFont="1" applyFill="1" applyAlignment="1" applyProtection="1">
      <alignment horizontal="right" vertical="center"/>
      <protection locked="0"/>
    </xf>
    <xf numFmtId="165" fontId="23" fillId="0" borderId="0" xfId="2" applyNumberFormat="1" applyFont="1" applyFill="1" applyBorder="1" applyAlignment="1" applyProtection="1">
      <alignment vertical="center"/>
      <protection locked="0"/>
    </xf>
    <xf numFmtId="166" fontId="2" fillId="0" borderId="0" xfId="2" applyNumberFormat="1" applyFont="1" applyFill="1" applyBorder="1" applyAlignment="1" applyProtection="1">
      <alignment vertical="center" wrapText="1"/>
      <protection locked="0"/>
    </xf>
    <xf numFmtId="165" fontId="4" fillId="0" borderId="47" xfId="2" applyNumberFormat="1" applyFont="1" applyFill="1" applyBorder="1" applyAlignment="1" applyProtection="1">
      <alignment vertical="center"/>
      <protection locked="0"/>
    </xf>
    <xf numFmtId="166" fontId="5" fillId="0" borderId="0" xfId="2" applyNumberFormat="1" applyFont="1" applyFill="1" applyBorder="1" applyAlignment="1" applyProtection="1">
      <alignment vertical="center" wrapText="1"/>
      <protection locked="0"/>
    </xf>
    <xf numFmtId="165" fontId="5" fillId="0" borderId="1" xfId="4" applyNumberFormat="1" applyFont="1" applyFill="1" applyBorder="1" applyAlignment="1" applyProtection="1">
      <alignment horizontal="right" vertical="center"/>
      <protection locked="0"/>
    </xf>
    <xf numFmtId="0" fontId="5" fillId="0" borderId="2" xfId="4" applyFont="1" applyFill="1" applyBorder="1" applyAlignment="1" applyProtection="1">
      <alignment horizontal="right" vertical="center"/>
      <protection locked="0"/>
    </xf>
    <xf numFmtId="172" fontId="5" fillId="0" borderId="2" xfId="4" applyNumberFormat="1" applyFont="1" applyFill="1" applyBorder="1" applyAlignment="1" applyProtection="1">
      <alignment horizontal="right" vertical="center"/>
      <protection locked="0"/>
    </xf>
    <xf numFmtId="0" fontId="5" fillId="0" borderId="2" xfId="4" applyFont="1" applyFill="1" applyBorder="1" applyAlignment="1" applyProtection="1">
      <alignment horizontal="left" vertical="center"/>
      <protection locked="0"/>
    </xf>
    <xf numFmtId="0" fontId="5" fillId="0" borderId="2" xfId="4" applyFont="1" applyFill="1" applyBorder="1" applyAlignment="1" applyProtection="1">
      <alignment horizontal="center" vertical="center"/>
      <protection locked="0"/>
    </xf>
    <xf numFmtId="3" fontId="5" fillId="0" borderId="2" xfId="4" applyNumberFormat="1" applyFont="1" applyFill="1" applyBorder="1" applyAlignment="1" applyProtection="1">
      <alignment vertical="center"/>
      <protection locked="0"/>
    </xf>
    <xf numFmtId="166" fontId="5" fillId="0" borderId="3" xfId="2" quotePrefix="1" applyNumberFormat="1" applyFont="1" applyFill="1" applyBorder="1" applyAlignment="1" applyProtection="1">
      <alignment horizontal="left" vertical="center" wrapText="1"/>
      <protection locked="0"/>
    </xf>
    <xf numFmtId="173" fontId="5" fillId="0" borderId="2" xfId="4" applyNumberFormat="1" applyFont="1" applyFill="1" applyBorder="1" applyAlignment="1" applyProtection="1">
      <alignment horizontal="right" vertical="center"/>
      <protection locked="0"/>
    </xf>
    <xf numFmtId="165" fontId="5" fillId="0" borderId="1" xfId="2" applyNumberFormat="1" applyFont="1" applyFill="1" applyBorder="1" applyAlignment="1" applyProtection="1">
      <alignment horizontal="right" vertical="center"/>
      <protection locked="0"/>
    </xf>
    <xf numFmtId="173" fontId="5" fillId="0" borderId="2" xfId="2" applyNumberFormat="1" applyFont="1" applyFill="1" applyBorder="1" applyAlignment="1" applyProtection="1">
      <alignment horizontal="right" vertical="center"/>
      <protection locked="0"/>
    </xf>
    <xf numFmtId="0" fontId="5" fillId="0" borderId="2" xfId="2" applyFont="1" applyFill="1" applyBorder="1" applyAlignment="1" applyProtection="1">
      <alignment horizontal="left" vertical="center"/>
      <protection locked="0"/>
    </xf>
    <xf numFmtId="0" fontId="5" fillId="0" borderId="2" xfId="2" applyFont="1" applyFill="1" applyBorder="1" applyAlignment="1" applyProtection="1">
      <alignment horizontal="center" vertical="center"/>
      <protection locked="0"/>
    </xf>
    <xf numFmtId="3" fontId="5" fillId="0" borderId="2" xfId="2" applyNumberFormat="1" applyFont="1" applyFill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alignment horizontal="right" vertical="center"/>
      <protection locked="0"/>
    </xf>
    <xf numFmtId="0" fontId="4" fillId="0" borderId="0" xfId="2" applyFont="1" applyFill="1" applyBorder="1" applyAlignment="1" applyProtection="1">
      <alignment horizontal="center" vertical="center" wrapText="1"/>
      <protection locked="0"/>
    </xf>
    <xf numFmtId="14" fontId="6" fillId="2" borderId="13" xfId="2" applyNumberFormat="1" applyFont="1" applyFill="1" applyBorder="1" applyAlignment="1">
      <alignment horizontal="center" vertical="center" wrapText="1"/>
    </xf>
    <xf numFmtId="14" fontId="6" fillId="2" borderId="14" xfId="2" applyNumberFormat="1" applyFont="1" applyFill="1" applyBorder="1" applyAlignment="1">
      <alignment horizontal="center" vertical="center" wrapText="1"/>
    </xf>
    <xf numFmtId="14" fontId="6" fillId="2" borderId="151" xfId="2" applyNumberFormat="1" applyFont="1" applyFill="1" applyBorder="1" applyAlignment="1">
      <alignment horizontal="left" vertical="center" wrapText="1"/>
    </xf>
    <xf numFmtId="14" fontId="9" fillId="0" borderId="0" xfId="2" applyNumberFormat="1" applyFont="1" applyBorder="1" applyAlignment="1">
      <alignment horizontal="right" vertical="center" wrapText="1"/>
    </xf>
    <xf numFmtId="3" fontId="5" fillId="0" borderId="142" xfId="2" applyNumberFormat="1" applyFont="1" applyBorder="1" applyAlignment="1">
      <alignment vertical="center" wrapText="1"/>
    </xf>
    <xf numFmtId="0" fontId="5" fillId="0" borderId="142" xfId="2" applyFont="1" applyBorder="1" applyAlignment="1">
      <alignment vertical="center" wrapText="1"/>
    </xf>
    <xf numFmtId="0" fontId="24" fillId="0" borderId="0" xfId="2" applyFont="1" applyAlignment="1">
      <alignment vertical="center"/>
    </xf>
    <xf numFmtId="165" fontId="5" fillId="0" borderId="39" xfId="1" applyNumberFormat="1" applyFont="1" applyBorder="1" applyAlignment="1">
      <alignment horizontal="right" vertical="center"/>
    </xf>
    <xf numFmtId="165" fontId="5" fillId="0" borderId="40" xfId="1" applyNumberFormat="1" applyFont="1" applyBorder="1" applyAlignment="1">
      <alignment horizontal="right" vertical="center"/>
    </xf>
    <xf numFmtId="166" fontId="5" fillId="0" borderId="41" xfId="2" quotePrefix="1" applyNumberFormat="1" applyFont="1" applyFill="1" applyBorder="1" applyAlignment="1" applyProtection="1">
      <alignment vertical="center" wrapText="1"/>
      <protection locked="0"/>
    </xf>
    <xf numFmtId="165" fontId="5" fillId="0" borderId="7" xfId="1" applyNumberFormat="1" applyFont="1" applyBorder="1" applyAlignment="1">
      <alignment horizontal="right" vertical="center"/>
    </xf>
    <xf numFmtId="165" fontId="5" fillId="0" borderId="8" xfId="1" applyNumberFormat="1" applyFont="1" applyBorder="1" applyAlignment="1">
      <alignment horizontal="right" vertical="center"/>
    </xf>
    <xf numFmtId="166" fontId="5" fillId="0" borderId="9" xfId="2" applyNumberFormat="1" applyFont="1" applyFill="1" applyBorder="1" applyAlignment="1" applyProtection="1">
      <alignment vertical="center" wrapText="1"/>
      <protection locked="0"/>
    </xf>
    <xf numFmtId="166" fontId="5" fillId="0" borderId="9" xfId="2" quotePrefix="1" applyNumberFormat="1" applyFont="1" applyFill="1" applyBorder="1" applyAlignment="1" applyProtection="1">
      <alignment vertical="center" wrapText="1"/>
      <protection locked="0"/>
    </xf>
    <xf numFmtId="165" fontId="5" fillId="0" borderId="143" xfId="1" applyNumberFormat="1" applyFont="1" applyBorder="1" applyAlignment="1">
      <alignment horizontal="right" vertical="center"/>
    </xf>
    <xf numFmtId="165" fontId="5" fillId="0" borderId="144" xfId="1" applyNumberFormat="1" applyFont="1" applyBorder="1" applyAlignment="1">
      <alignment horizontal="right" vertical="center"/>
    </xf>
    <xf numFmtId="166" fontId="5" fillId="0" borderId="145" xfId="2" quotePrefix="1" applyNumberFormat="1" applyFont="1" applyFill="1" applyBorder="1" applyAlignment="1" applyProtection="1">
      <alignment vertical="center" wrapText="1"/>
      <protection locked="0"/>
    </xf>
    <xf numFmtId="166" fontId="5" fillId="0" borderId="38" xfId="2" quotePrefix="1" applyNumberFormat="1" applyFont="1" applyFill="1" applyBorder="1" applyAlignment="1" applyProtection="1">
      <alignment vertical="center" wrapText="1"/>
      <protection locked="0"/>
    </xf>
    <xf numFmtId="165" fontId="4" fillId="0" borderId="39" xfId="1" applyNumberFormat="1" applyFont="1" applyBorder="1" applyAlignment="1">
      <alignment vertical="center"/>
    </xf>
    <xf numFmtId="165" fontId="4" fillId="0" borderId="40" xfId="1" applyNumberFormat="1" applyFont="1" applyBorder="1" applyAlignment="1">
      <alignment vertical="center"/>
    </xf>
    <xf numFmtId="165" fontId="5" fillId="0" borderId="4" xfId="2" applyNumberFormat="1" applyFont="1" applyBorder="1" applyAlignment="1">
      <alignment vertical="center" wrapText="1"/>
    </xf>
    <xf numFmtId="165" fontId="5" fillId="0" borderId="5" xfId="2" applyNumberFormat="1" applyFont="1" applyBorder="1" applyAlignment="1">
      <alignment vertical="center" wrapText="1"/>
    </xf>
    <xf numFmtId="165" fontId="4" fillId="0" borderId="1" xfId="2" applyNumberFormat="1" applyFont="1" applyBorder="1" applyAlignment="1">
      <alignment vertical="center" wrapText="1"/>
    </xf>
    <xf numFmtId="165" fontId="4" fillId="0" borderId="2" xfId="2" applyNumberFormat="1" applyFont="1" applyBorder="1" applyAlignment="1">
      <alignment vertical="center" wrapText="1"/>
    </xf>
    <xf numFmtId="165" fontId="4" fillId="0" borderId="142" xfId="2" applyNumberFormat="1" applyFont="1" applyBorder="1" applyAlignment="1">
      <alignment vertical="center"/>
    </xf>
    <xf numFmtId="0" fontId="4" fillId="0" borderId="142" xfId="2" applyFont="1" applyBorder="1" applyAlignment="1">
      <alignment vertical="center" wrapText="1"/>
    </xf>
    <xf numFmtId="165" fontId="4" fillId="0" borderId="0" xfId="2" applyNumberFormat="1" applyFont="1" applyBorder="1" applyAlignment="1">
      <alignment vertical="center"/>
    </xf>
    <xf numFmtId="165" fontId="5" fillId="0" borderId="36" xfId="2" applyNumberFormat="1" applyFont="1" applyBorder="1" applyAlignment="1">
      <alignment vertical="center" wrapText="1"/>
    </xf>
    <xf numFmtId="165" fontId="5" fillId="0" borderId="37" xfId="2" applyNumberFormat="1" applyFont="1" applyBorder="1" applyAlignment="1">
      <alignment vertical="center" wrapText="1"/>
    </xf>
    <xf numFmtId="0" fontId="5" fillId="0" borderId="38" xfId="2" applyFont="1" applyBorder="1" applyAlignment="1">
      <alignment vertical="center" wrapText="1"/>
    </xf>
    <xf numFmtId="3" fontId="2" fillId="0" borderId="0" xfId="2" applyNumberFormat="1" applyFont="1" applyFill="1" applyAlignment="1">
      <alignment vertical="center" wrapText="1"/>
    </xf>
    <xf numFmtId="165" fontId="3" fillId="0" borderId="0" xfId="2" applyNumberFormat="1" applyFont="1" applyFill="1" applyAlignment="1">
      <alignment vertical="center" wrapText="1"/>
    </xf>
    <xf numFmtId="165" fontId="2" fillId="0" borderId="0" xfId="2" applyNumberFormat="1" applyFont="1" applyFill="1" applyAlignment="1">
      <alignment vertical="center" wrapText="1"/>
    </xf>
    <xf numFmtId="165" fontId="4" fillId="0" borderId="2" xfId="2" applyNumberFormat="1" applyFont="1" applyFill="1" applyBorder="1" applyAlignment="1">
      <alignment horizontal="right" vertical="center"/>
    </xf>
    <xf numFmtId="165" fontId="5" fillId="0" borderId="37" xfId="2" applyNumberFormat="1" applyFont="1" applyFill="1" applyBorder="1" applyAlignment="1">
      <alignment horizontal="right" vertical="center"/>
    </xf>
    <xf numFmtId="165" fontId="4" fillId="0" borderId="47" xfId="2" applyNumberFormat="1" applyFont="1" applyBorder="1" applyAlignment="1">
      <alignment horizontal="right" vertical="center"/>
    </xf>
    <xf numFmtId="165" fontId="4" fillId="0" borderId="47" xfId="2" applyNumberFormat="1" applyFont="1" applyFill="1" applyBorder="1" applyAlignment="1">
      <alignment horizontal="right" vertical="center"/>
    </xf>
    <xf numFmtId="0" fontId="4" fillId="0" borderId="47" xfId="2" applyFont="1" applyFill="1" applyBorder="1" applyAlignment="1">
      <alignment vertical="center" wrapText="1"/>
    </xf>
    <xf numFmtId="165" fontId="5" fillId="0" borderId="0" xfId="2" applyNumberFormat="1" applyFont="1" applyFill="1" applyBorder="1" applyAlignment="1">
      <alignment horizontal="right" vertical="center"/>
    </xf>
    <xf numFmtId="0" fontId="5" fillId="0" borderId="0" xfId="2" quotePrefix="1" applyFont="1" applyBorder="1" applyAlignment="1">
      <alignment vertical="center" wrapText="1"/>
    </xf>
    <xf numFmtId="165" fontId="5" fillId="0" borderId="4" xfId="2" applyNumberFormat="1" applyFont="1" applyBorder="1" applyAlignment="1">
      <alignment horizontal="right" vertical="center"/>
    </xf>
    <xf numFmtId="165" fontId="5" fillId="0" borderId="13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 wrapText="1"/>
    </xf>
    <xf numFmtId="165" fontId="3" fillId="0" borderId="0" xfId="2" applyNumberFormat="1" applyFont="1" applyFill="1" applyAlignment="1">
      <alignment vertical="center"/>
    </xf>
    <xf numFmtId="165" fontId="5" fillId="0" borderId="133" xfId="2" applyNumberFormat="1" applyFont="1" applyBorder="1" applyAlignment="1">
      <alignment vertical="center" wrapText="1"/>
    </xf>
    <xf numFmtId="165" fontId="5" fillId="0" borderId="134" xfId="2" applyNumberFormat="1" applyFont="1" applyBorder="1" applyAlignment="1">
      <alignment vertical="center" wrapText="1"/>
    </xf>
    <xf numFmtId="0" fontId="5" fillId="0" borderId="135" xfId="2" applyFont="1" applyBorder="1" applyAlignment="1">
      <alignment vertical="center" wrapText="1"/>
    </xf>
    <xf numFmtId="165" fontId="5" fillId="0" borderId="1" xfId="1" applyNumberFormat="1" applyFont="1" applyBorder="1" applyAlignment="1">
      <alignment horizontal="right" vertical="center"/>
    </xf>
    <xf numFmtId="165" fontId="5" fillId="0" borderId="2" xfId="1" applyNumberFormat="1" applyFont="1" applyBorder="1" applyAlignment="1">
      <alignment horizontal="right" vertical="center"/>
    </xf>
    <xf numFmtId="166" fontId="5" fillId="0" borderId="3" xfId="2" applyNumberFormat="1" applyFont="1" applyFill="1" applyBorder="1" applyAlignment="1" applyProtection="1">
      <alignment vertical="center" wrapText="1"/>
      <protection locked="0"/>
    </xf>
    <xf numFmtId="165" fontId="5" fillId="0" borderId="4" xfId="1" applyNumberFormat="1" applyFont="1" applyBorder="1" applyAlignment="1">
      <alignment horizontal="right" vertical="center"/>
    </xf>
    <xf numFmtId="165" fontId="5" fillId="0" borderId="5" xfId="1" applyNumberFormat="1" applyFont="1" applyBorder="1" applyAlignment="1">
      <alignment horizontal="right" vertical="center"/>
    </xf>
    <xf numFmtId="166" fontId="5" fillId="0" borderId="6" xfId="2" applyNumberFormat="1" applyFont="1" applyFill="1" applyBorder="1" applyAlignment="1" applyProtection="1">
      <alignment vertical="center" wrapText="1"/>
      <protection locked="0"/>
    </xf>
    <xf numFmtId="0" fontId="4" fillId="0" borderId="3" xfId="2" quotePrefix="1" applyFont="1" applyBorder="1" applyAlignment="1">
      <alignment vertical="center" wrapText="1"/>
    </xf>
    <xf numFmtId="165" fontId="5" fillId="0" borderId="39" xfId="2" applyNumberFormat="1" applyFont="1" applyBorder="1" applyAlignment="1">
      <alignment vertical="center" wrapText="1"/>
    </xf>
    <xf numFmtId="165" fontId="5" fillId="0" borderId="40" xfId="2" applyNumberFormat="1" applyFont="1" applyBorder="1" applyAlignment="1">
      <alignment vertical="center" wrapText="1"/>
    </xf>
    <xf numFmtId="0" fontId="5" fillId="0" borderId="41" xfId="2" applyFont="1" applyBorder="1" applyAlignment="1">
      <alignment vertical="center" wrapText="1"/>
    </xf>
    <xf numFmtId="165" fontId="5" fillId="0" borderId="134" xfId="2" applyNumberFormat="1" applyFont="1" applyBorder="1" applyAlignment="1">
      <alignment horizontal="right" vertical="center" wrapText="1"/>
    </xf>
    <xf numFmtId="165" fontId="3" fillId="0" borderId="0" xfId="1" applyNumberFormat="1" applyFont="1" applyFill="1" applyAlignment="1">
      <alignment vertical="center"/>
    </xf>
    <xf numFmtId="165" fontId="5" fillId="0" borderId="143" xfId="2" applyNumberFormat="1" applyFont="1" applyBorder="1" applyAlignment="1">
      <alignment vertical="center" wrapText="1"/>
    </xf>
    <xf numFmtId="165" fontId="5" fillId="0" borderId="144" xfId="2" applyNumberFormat="1" applyFont="1" applyBorder="1" applyAlignment="1">
      <alignment vertical="center" wrapText="1"/>
    </xf>
    <xf numFmtId="0" fontId="2" fillId="0" borderId="0" xfId="2" applyFont="1" applyAlignment="1">
      <alignment horizontal="center" vertical="center" wrapText="1"/>
    </xf>
    <xf numFmtId="3" fontId="3" fillId="0" borderId="0" xfId="1" applyNumberFormat="1" applyFont="1" applyAlignment="1">
      <alignment horizontal="right" vertical="center" wrapText="1"/>
    </xf>
    <xf numFmtId="166" fontId="3" fillId="0" borderId="0" xfId="2" applyNumberFormat="1" applyFont="1" applyFill="1" applyBorder="1" applyAlignment="1" applyProtection="1">
      <alignment horizontal="right" vertical="center" wrapText="1"/>
      <protection locked="0"/>
    </xf>
    <xf numFmtId="165" fontId="23" fillId="0" borderId="0" xfId="2" applyNumberFormat="1" applyFont="1" applyBorder="1" applyAlignment="1">
      <alignment vertical="center" wrapText="1"/>
    </xf>
    <xf numFmtId="0" fontId="17" fillId="2" borderId="15" xfId="2" applyFont="1" applyFill="1" applyBorder="1" applyAlignment="1">
      <alignment vertical="center"/>
    </xf>
    <xf numFmtId="165" fontId="24" fillId="0" borderId="0" xfId="2" applyNumberFormat="1" applyFont="1" applyBorder="1" applyAlignment="1">
      <alignment vertical="center" wrapText="1"/>
    </xf>
    <xf numFmtId="165" fontId="9" fillId="0" borderId="0" xfId="2" applyNumberFormat="1" applyFont="1" applyBorder="1" applyAlignment="1">
      <alignment vertical="center" wrapText="1"/>
    </xf>
    <xf numFmtId="0" fontId="2" fillId="0" borderId="0" xfId="2" applyFont="1" applyBorder="1" applyAlignment="1">
      <alignment horizontal="center" vertical="center" wrapText="1"/>
    </xf>
    <xf numFmtId="0" fontId="2" fillId="0" borderId="0" xfId="2" quotePrefix="1" applyFont="1" applyBorder="1" applyAlignment="1">
      <alignment vertical="center" wrapText="1"/>
    </xf>
    <xf numFmtId="0" fontId="15" fillId="0" borderId="0" xfId="2" applyFont="1" applyBorder="1" applyAlignment="1">
      <alignment vertical="center"/>
    </xf>
    <xf numFmtId="165" fontId="15" fillId="0" borderId="0" xfId="2" applyNumberFormat="1" applyFont="1" applyBorder="1" applyAlignment="1">
      <alignment horizontal="right" vertical="center"/>
    </xf>
    <xf numFmtId="0" fontId="15" fillId="0" borderId="0" xfId="2" quotePrefix="1" applyFont="1" applyBorder="1" applyAlignment="1">
      <alignment vertical="center" wrapText="1"/>
    </xf>
    <xf numFmtId="165" fontId="16" fillId="0" borderId="1" xfId="2" applyNumberFormat="1" applyFont="1" applyFill="1" applyBorder="1" applyAlignment="1">
      <alignment vertical="center"/>
    </xf>
    <xf numFmtId="165" fontId="16" fillId="0" borderId="2" xfId="2" applyNumberFormat="1" applyFont="1" applyBorder="1" applyAlignment="1">
      <alignment horizontal="right" vertical="center"/>
    </xf>
    <xf numFmtId="0" fontId="16" fillId="0" borderId="3" xfId="2" quotePrefix="1" applyFont="1" applyBorder="1" applyAlignment="1">
      <alignment vertical="center" wrapText="1"/>
    </xf>
    <xf numFmtId="165" fontId="16" fillId="0" borderId="54" xfId="2" applyNumberFormat="1" applyFont="1" applyFill="1" applyBorder="1" applyAlignment="1">
      <alignment vertical="center"/>
    </xf>
    <xf numFmtId="165" fontId="15" fillId="0" borderId="55" xfId="2" applyNumberFormat="1" applyFont="1" applyBorder="1" applyAlignment="1">
      <alignment horizontal="right" vertical="center"/>
    </xf>
    <xf numFmtId="0" fontId="15" fillId="0" borderId="56" xfId="2" quotePrefix="1" applyFont="1" applyFill="1" applyBorder="1" applyAlignment="1">
      <alignment vertical="center" wrapText="1"/>
    </xf>
    <xf numFmtId="165" fontId="16" fillId="0" borderId="7" xfId="2" applyNumberFormat="1" applyFont="1" applyFill="1" applyBorder="1" applyAlignment="1">
      <alignment vertical="center"/>
    </xf>
    <xf numFmtId="165" fontId="15" fillId="0" borderId="8" xfId="2" applyNumberFormat="1" applyFont="1" applyBorder="1" applyAlignment="1">
      <alignment horizontal="right" vertical="center"/>
    </xf>
    <xf numFmtId="0" fontId="15" fillId="0" borderId="9" xfId="2" applyFont="1" applyFill="1" applyBorder="1" applyAlignment="1">
      <alignment vertical="center" wrapText="1"/>
    </xf>
    <xf numFmtId="0" fontId="15" fillId="0" borderId="9" xfId="2" applyFont="1" applyBorder="1" applyAlignment="1">
      <alignment vertical="center" wrapText="1"/>
    </xf>
    <xf numFmtId="0" fontId="15" fillId="0" borderId="9" xfId="2" quotePrefix="1" applyFont="1" applyBorder="1" applyAlignment="1">
      <alignment horizontal="left" vertical="center" wrapText="1"/>
    </xf>
    <xf numFmtId="165" fontId="16" fillId="0" borderId="10" xfId="2" applyNumberFormat="1" applyFont="1" applyFill="1" applyBorder="1" applyAlignment="1">
      <alignment vertical="center"/>
    </xf>
    <xf numFmtId="165" fontId="15" fillId="0" borderId="11" xfId="2" applyNumberFormat="1" applyFont="1" applyBorder="1" applyAlignment="1">
      <alignment horizontal="right" vertical="center"/>
    </xf>
    <xf numFmtId="0" fontId="15" fillId="0" borderId="12" xfId="2" applyFont="1" applyBorder="1" applyAlignment="1">
      <alignment vertical="center" wrapText="1"/>
    </xf>
    <xf numFmtId="0" fontId="6" fillId="2" borderId="13" xfId="2" applyFont="1" applyFill="1" applyBorder="1" applyAlignment="1">
      <alignment horizontal="center" vertical="top" wrapText="1"/>
    </xf>
    <xf numFmtId="0" fontId="6" fillId="2" borderId="14" xfId="2" applyFont="1" applyFill="1" applyBorder="1" applyAlignment="1">
      <alignment horizontal="center" vertical="top" wrapText="1"/>
    </xf>
    <xf numFmtId="0" fontId="9" fillId="0" borderId="0" xfId="2" quotePrefix="1" applyFont="1" applyBorder="1" applyAlignment="1">
      <alignment vertical="center" wrapText="1"/>
    </xf>
    <xf numFmtId="165" fontId="24" fillId="0" borderId="0" xfId="2" applyNumberFormat="1" applyFont="1" applyFill="1" applyBorder="1" applyAlignment="1">
      <alignment vertical="center" wrapText="1"/>
    </xf>
    <xf numFmtId="165" fontId="1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horizontal="right" vertical="center"/>
    </xf>
    <xf numFmtId="165" fontId="16" fillId="0" borderId="147" xfId="2" applyNumberFormat="1" applyFont="1" applyFill="1" applyBorder="1" applyAlignment="1">
      <alignment vertical="center"/>
    </xf>
    <xf numFmtId="0" fontId="15" fillId="0" borderId="147" xfId="2" applyFont="1" applyBorder="1" applyAlignment="1">
      <alignment vertical="center"/>
    </xf>
    <xf numFmtId="165" fontId="15" fillId="0" borderId="147" xfId="2" applyNumberFormat="1" applyFont="1" applyBorder="1" applyAlignment="1">
      <alignment horizontal="right" vertical="center"/>
    </xf>
    <xf numFmtId="165" fontId="16" fillId="0" borderId="147" xfId="2" applyNumberFormat="1" applyFont="1" applyBorder="1" applyAlignment="1">
      <alignment horizontal="right" vertical="center"/>
    </xf>
    <xf numFmtId="0" fontId="15" fillId="0" borderId="147" xfId="2" quotePrefix="1" applyFont="1" applyBorder="1" applyAlignment="1">
      <alignment vertical="center" wrapText="1"/>
    </xf>
    <xf numFmtId="0" fontId="16" fillId="0" borderId="3" xfId="2" applyFont="1" applyBorder="1" applyAlignment="1">
      <alignment vertical="center" wrapText="1"/>
    </xf>
    <xf numFmtId="0" fontId="15" fillId="0" borderId="56" xfId="2" quotePrefix="1" applyFont="1" applyBorder="1" applyAlignment="1">
      <alignment vertical="center" wrapText="1"/>
    </xf>
    <xf numFmtId="0" fontId="15" fillId="0" borderId="9" xfId="2" quotePrefix="1" applyFont="1" applyBorder="1" applyAlignment="1">
      <alignment vertical="center" wrapText="1"/>
    </xf>
    <xf numFmtId="0" fontId="15" fillId="0" borderId="9" xfId="2" quotePrefix="1" applyFont="1" applyFill="1" applyBorder="1" applyAlignment="1">
      <alignment vertical="center" wrapText="1"/>
    </xf>
    <xf numFmtId="165" fontId="24" fillId="0" borderId="0" xfId="2" applyNumberFormat="1" applyFont="1" applyFill="1" applyBorder="1" applyAlignment="1">
      <alignment horizontal="right" vertical="center" wrapText="1"/>
    </xf>
    <xf numFmtId="0" fontId="24" fillId="0" borderId="0" xfId="2" applyFont="1" applyFill="1" applyBorder="1" applyAlignment="1">
      <alignment vertical="center" wrapText="1"/>
    </xf>
    <xf numFmtId="14" fontId="6" fillId="0" borderId="0" xfId="2" applyNumberFormat="1" applyFont="1" applyFill="1" applyBorder="1" applyAlignment="1">
      <alignment horizontal="right" vertical="center" wrapText="1"/>
    </xf>
    <xf numFmtId="0" fontId="9" fillId="0" borderId="0" xfId="2" applyFont="1" applyFill="1" applyBorder="1" applyAlignment="1">
      <alignment horizontal="left" vertical="center" wrapText="1"/>
    </xf>
    <xf numFmtId="174" fontId="4" fillId="0" borderId="1" xfId="2" applyNumberFormat="1" applyFont="1" applyBorder="1" applyAlignment="1">
      <alignment vertical="center" wrapText="1"/>
    </xf>
    <xf numFmtId="174" fontId="4" fillId="0" borderId="2" xfId="2" applyNumberFormat="1" applyFont="1" applyBorder="1" applyAlignment="1">
      <alignment vertical="center" wrapText="1"/>
    </xf>
    <xf numFmtId="165" fontId="4" fillId="0" borderId="3" xfId="2" applyNumberFormat="1" applyFont="1" applyBorder="1" applyAlignment="1">
      <alignment vertical="center" wrapText="1"/>
    </xf>
    <xf numFmtId="0" fontId="4" fillId="0" borderId="47" xfId="2" applyFont="1" applyBorder="1" applyAlignment="1">
      <alignment vertical="center" wrapText="1"/>
    </xf>
    <xf numFmtId="174" fontId="5" fillId="0" borderId="7" xfId="2" quotePrefix="1" applyNumberFormat="1" applyFont="1" applyFill="1" applyBorder="1" applyAlignment="1">
      <alignment vertical="center" wrapText="1"/>
    </xf>
    <xf numFmtId="174" fontId="5" fillId="0" borderId="8" xfId="2" quotePrefix="1" applyNumberFormat="1" applyFont="1" applyFill="1" applyBorder="1" applyAlignment="1">
      <alignment vertical="center" wrapText="1"/>
    </xf>
    <xf numFmtId="0" fontId="5" fillId="0" borderId="78" xfId="2" applyFont="1" applyBorder="1" applyAlignment="1">
      <alignment horizontal="center" vertical="center"/>
    </xf>
    <xf numFmtId="174" fontId="5" fillId="0" borderId="7" xfId="2" quotePrefix="1" applyNumberFormat="1" applyFont="1" applyBorder="1" applyAlignment="1">
      <alignment vertical="center" wrapText="1"/>
    </xf>
    <xf numFmtId="174" fontId="5" fillId="0" borderId="8" xfId="2" quotePrefix="1" applyNumberFormat="1" applyFont="1" applyBorder="1" applyAlignment="1">
      <alignment vertical="center" wrapText="1"/>
    </xf>
    <xf numFmtId="174" fontId="5" fillId="0" borderId="7" xfId="2" applyNumberFormat="1" applyFont="1" applyBorder="1" applyAlignment="1">
      <alignment vertical="center" wrapText="1"/>
    </xf>
    <xf numFmtId="174" fontId="5" fillId="0" borderId="8" xfId="2" applyNumberFormat="1" applyFont="1" applyBorder="1" applyAlignment="1">
      <alignment vertical="center" wrapText="1"/>
    </xf>
    <xf numFmtId="165" fontId="5" fillId="0" borderId="9" xfId="2" applyNumberFormat="1" applyFont="1" applyBorder="1" applyAlignment="1">
      <alignment vertical="center" wrapText="1"/>
    </xf>
    <xf numFmtId="0" fontId="5" fillId="0" borderId="78" xfId="2" applyFont="1" applyBorder="1" applyAlignment="1">
      <alignment vertical="center" wrapText="1"/>
    </xf>
    <xf numFmtId="174" fontId="5" fillId="0" borderId="1" xfId="2" applyNumberFormat="1" applyFont="1" applyBorder="1" applyAlignment="1">
      <alignment vertical="center" wrapText="1"/>
    </xf>
    <xf numFmtId="174" fontId="5" fillId="0" borderId="2" xfId="2" applyNumberFormat="1" applyFont="1" applyBorder="1" applyAlignment="1">
      <alignment vertical="center" wrapText="1"/>
    </xf>
    <xf numFmtId="165" fontId="5" fillId="0" borderId="3" xfId="2" applyNumberFormat="1" applyFont="1" applyBorder="1" applyAlignment="1">
      <alignment vertical="center" wrapText="1"/>
    </xf>
    <xf numFmtId="0" fontId="5" fillId="0" borderId="47" xfId="2" applyFont="1" applyBorder="1" applyAlignment="1">
      <alignment vertical="center" wrapText="1"/>
    </xf>
    <xf numFmtId="174" fontId="5" fillId="0" borderId="10" xfId="2" applyNumberFormat="1" applyFont="1" applyBorder="1" applyAlignment="1">
      <alignment vertical="center" wrapText="1"/>
    </xf>
    <xf numFmtId="174" fontId="5" fillId="0" borderId="11" xfId="2" applyNumberFormat="1" applyFont="1" applyBorder="1" applyAlignment="1">
      <alignment vertical="center" wrapText="1"/>
    </xf>
    <xf numFmtId="165" fontId="5" fillId="0" borderId="12" xfId="2" applyNumberFormat="1" applyFont="1" applyBorder="1" applyAlignment="1">
      <alignment vertical="center" wrapText="1"/>
    </xf>
    <xf numFmtId="0" fontId="5" fillId="0" borderId="102" xfId="2" applyFont="1" applyBorder="1" applyAlignment="1">
      <alignment vertical="center" wrapText="1"/>
    </xf>
    <xf numFmtId="174" fontId="4" fillId="0" borderId="2" xfId="1" applyNumberFormat="1" applyFont="1" applyBorder="1" applyAlignment="1">
      <alignment horizontal="right" vertical="center"/>
    </xf>
    <xf numFmtId="165" fontId="4" fillId="0" borderId="3" xfId="1" applyNumberFormat="1" applyFont="1" applyBorder="1" applyAlignment="1">
      <alignment horizontal="left" vertical="center"/>
    </xf>
    <xf numFmtId="174" fontId="4" fillId="0" borderId="39" xfId="2" applyNumberFormat="1" applyFont="1" applyBorder="1" applyAlignment="1">
      <alignment vertical="center" wrapText="1"/>
    </xf>
    <xf numFmtId="174" fontId="4" fillId="0" borderId="40" xfId="2" applyNumberFormat="1" applyFont="1" applyBorder="1" applyAlignment="1">
      <alignment vertical="center" wrapText="1"/>
    </xf>
    <xf numFmtId="174" fontId="4" fillId="0" borderId="40" xfId="1" applyNumberFormat="1" applyFont="1" applyBorder="1" applyAlignment="1">
      <alignment horizontal="right" vertical="center"/>
    </xf>
    <xf numFmtId="165" fontId="4" fillId="0" borderId="41" xfId="1" applyNumberFormat="1" applyFont="1" applyBorder="1" applyAlignment="1">
      <alignment horizontal="left" vertical="center"/>
    </xf>
    <xf numFmtId="0" fontId="4" fillId="0" borderId="50" xfId="2" applyFont="1" applyBorder="1" applyAlignment="1">
      <alignment vertical="center" wrapText="1"/>
    </xf>
    <xf numFmtId="14" fontId="6" fillId="2" borderId="57" xfId="2" applyNumberFormat="1" applyFont="1" applyFill="1" applyBorder="1" applyAlignment="1">
      <alignment horizontal="right" vertical="center" wrapText="1"/>
    </xf>
    <xf numFmtId="0" fontId="30" fillId="0" borderId="0" xfId="0" applyFont="1" applyFill="1" applyBorder="1" applyAlignment="1"/>
    <xf numFmtId="165" fontId="30" fillId="0" borderId="0" xfId="0" applyNumberFormat="1" applyFont="1" applyFill="1" applyBorder="1" applyAlignment="1"/>
    <xf numFmtId="165" fontId="31" fillId="0" borderId="71" xfId="0" applyNumberFormat="1" applyFont="1" applyFill="1" applyBorder="1" applyAlignment="1"/>
    <xf numFmtId="165" fontId="31" fillId="0" borderId="72" xfId="0" applyNumberFormat="1" applyFont="1" applyFill="1" applyBorder="1" applyAlignment="1"/>
    <xf numFmtId="0" fontId="31" fillId="0" borderId="152" xfId="0" applyFont="1" applyFill="1" applyBorder="1" applyAlignment="1">
      <alignment vertical="center"/>
    </xf>
    <xf numFmtId="165" fontId="8" fillId="0" borderId="75" xfId="1" applyNumberFormat="1" applyFont="1" applyFill="1" applyBorder="1" applyAlignment="1">
      <alignment horizontal="right" vertical="center"/>
    </xf>
    <xf numFmtId="165" fontId="8" fillId="0" borderId="76" xfId="1" applyNumberFormat="1" applyFont="1" applyFill="1" applyBorder="1" applyAlignment="1">
      <alignment horizontal="right" vertical="center"/>
    </xf>
    <xf numFmtId="165" fontId="8" fillId="0" borderId="76" xfId="0" applyNumberFormat="1" applyFont="1" applyFill="1" applyBorder="1" applyAlignment="1">
      <alignment horizontal="right" vertical="center"/>
    </xf>
    <xf numFmtId="0" fontId="8" fillId="0" borderId="153" xfId="0" applyFont="1" applyFill="1" applyBorder="1" applyAlignment="1">
      <alignment vertical="center"/>
    </xf>
    <xf numFmtId="165" fontId="8" fillId="0" borderId="79" xfId="0" applyNumberFormat="1" applyFont="1" applyFill="1" applyBorder="1" applyAlignment="1">
      <alignment horizontal="right" vertical="center"/>
    </xf>
    <xf numFmtId="165" fontId="8" fillId="0" borderId="80" xfId="0" applyNumberFormat="1" applyFont="1" applyFill="1" applyBorder="1" applyAlignment="1">
      <alignment horizontal="right" vertical="center"/>
    </xf>
    <xf numFmtId="0" fontId="8" fillId="0" borderId="154" xfId="0" applyFont="1" applyFill="1" applyBorder="1" applyAlignment="1">
      <alignment vertical="center"/>
    </xf>
    <xf numFmtId="165" fontId="32" fillId="5" borderId="79" xfId="0" applyNumberFormat="1" applyFont="1" applyFill="1" applyBorder="1" applyAlignment="1">
      <alignment horizontal="right" vertical="center" wrapText="1"/>
    </xf>
    <xf numFmtId="165" fontId="32" fillId="5" borderId="80" xfId="0" applyNumberFormat="1" applyFont="1" applyFill="1" applyBorder="1" applyAlignment="1">
      <alignment horizontal="right" vertical="center" wrapText="1"/>
    </xf>
    <xf numFmtId="0" fontId="8" fillId="0" borderId="154" xfId="0" applyFont="1" applyFill="1" applyBorder="1" applyAlignment="1">
      <alignment vertical="center" wrapText="1"/>
    </xf>
    <xf numFmtId="165" fontId="32" fillId="5" borderId="103" xfId="0" applyNumberFormat="1" applyFont="1" applyFill="1" applyBorder="1" applyAlignment="1">
      <alignment horizontal="right" vertical="center" wrapText="1"/>
    </xf>
    <xf numFmtId="165" fontId="32" fillId="5" borderId="104" xfId="0" applyNumberFormat="1" applyFont="1" applyFill="1" applyBorder="1" applyAlignment="1">
      <alignment horizontal="right" vertical="center" wrapText="1"/>
    </xf>
    <xf numFmtId="165" fontId="8" fillId="0" borderId="104" xfId="0" applyNumberFormat="1" applyFont="1" applyFill="1" applyBorder="1" applyAlignment="1">
      <alignment horizontal="right" vertical="center"/>
    </xf>
    <xf numFmtId="0" fontId="8" fillId="0" borderId="155" xfId="0" applyFont="1" applyFill="1" applyBorder="1" applyAlignment="1">
      <alignment vertical="center" wrapText="1"/>
    </xf>
    <xf numFmtId="165" fontId="32" fillId="5" borderId="71" xfId="0" applyNumberFormat="1" applyFont="1" applyFill="1" applyBorder="1" applyAlignment="1">
      <alignment horizontal="right" vertical="center" wrapText="1"/>
    </xf>
    <xf numFmtId="165" fontId="32" fillId="5" borderId="72" xfId="0" applyNumberFormat="1" applyFont="1" applyFill="1" applyBorder="1" applyAlignment="1">
      <alignment horizontal="right" vertical="center" wrapText="1"/>
    </xf>
    <xf numFmtId="165" fontId="8" fillId="0" borderId="72" xfId="0" applyNumberFormat="1" applyFont="1" applyFill="1" applyBorder="1" applyAlignment="1">
      <alignment horizontal="right" vertical="center"/>
    </xf>
    <xf numFmtId="0" fontId="8" fillId="0" borderId="152" xfId="0" quotePrefix="1" applyFont="1" applyFill="1" applyBorder="1" applyAlignment="1">
      <alignment vertical="center"/>
    </xf>
    <xf numFmtId="165" fontId="32" fillId="5" borderId="75" xfId="0" applyNumberFormat="1" applyFont="1" applyFill="1" applyBorder="1" applyAlignment="1">
      <alignment horizontal="right" vertical="center" wrapText="1"/>
    </xf>
    <xf numFmtId="165" fontId="32" fillId="5" borderId="76" xfId="0" applyNumberFormat="1" applyFont="1" applyFill="1" applyBorder="1" applyAlignment="1">
      <alignment horizontal="right" vertical="center" wrapText="1"/>
    </xf>
    <xf numFmtId="165" fontId="32" fillId="0" borderId="76" xfId="0" applyNumberFormat="1" applyFont="1" applyFill="1" applyBorder="1" applyAlignment="1">
      <alignment horizontal="right" vertical="center" wrapText="1"/>
    </xf>
    <xf numFmtId="0" fontId="8" fillId="0" borderId="153" xfId="0" quotePrefix="1" applyFont="1" applyFill="1" applyBorder="1" applyAlignment="1">
      <alignment vertical="center"/>
    </xf>
    <xf numFmtId="165" fontId="32" fillId="0" borderId="80" xfId="0" applyNumberFormat="1" applyFont="1" applyFill="1" applyBorder="1" applyAlignment="1">
      <alignment horizontal="right" vertical="center" wrapText="1"/>
    </xf>
    <xf numFmtId="0" fontId="8" fillId="0" borderId="154" xfId="0" quotePrefix="1" applyFont="1" applyFill="1" applyBorder="1" applyAlignment="1">
      <alignment vertical="center"/>
    </xf>
    <xf numFmtId="165" fontId="32" fillId="5" borderId="125" xfId="0" applyNumberFormat="1" applyFont="1" applyFill="1" applyBorder="1" applyAlignment="1">
      <alignment horizontal="right" vertical="center" wrapText="1"/>
    </xf>
    <xf numFmtId="165" fontId="32" fillId="5" borderId="126" xfId="0" applyNumberFormat="1" applyFont="1" applyFill="1" applyBorder="1" applyAlignment="1">
      <alignment horizontal="right" vertical="center" wrapText="1"/>
    </xf>
    <xf numFmtId="165" fontId="8" fillId="0" borderId="126" xfId="0" applyNumberFormat="1" applyFont="1" applyFill="1" applyBorder="1" applyAlignment="1">
      <alignment horizontal="right" vertical="center"/>
    </xf>
    <xf numFmtId="0" fontId="8" fillId="0" borderId="156" xfId="0" quotePrefix="1" applyFont="1" applyFill="1" applyBorder="1" applyAlignment="1">
      <alignment vertical="center"/>
    </xf>
    <xf numFmtId="165" fontId="33" fillId="5" borderId="71" xfId="0" applyNumberFormat="1" applyFont="1" applyFill="1" applyBorder="1" applyAlignment="1">
      <alignment horizontal="right" vertical="center" wrapText="1"/>
    </xf>
    <xf numFmtId="165" fontId="33" fillId="5" borderId="72" xfId="0" applyNumberFormat="1" applyFont="1" applyFill="1" applyBorder="1" applyAlignment="1">
      <alignment horizontal="right" vertical="center" wrapText="1"/>
    </xf>
    <xf numFmtId="165" fontId="31" fillId="0" borderId="72" xfId="0" applyNumberFormat="1" applyFont="1" applyFill="1" applyBorder="1" applyAlignment="1">
      <alignment horizontal="right" vertical="center"/>
    </xf>
    <xf numFmtId="0" fontId="30" fillId="0" borderId="157" xfId="0" applyFont="1" applyFill="1" applyBorder="1" applyAlignment="1">
      <alignment horizontal="center"/>
    </xf>
    <xf numFmtId="0" fontId="30" fillId="0" borderId="158" xfId="0" applyFont="1" applyFill="1" applyBorder="1" applyAlignment="1">
      <alignment horizontal="center"/>
    </xf>
    <xf numFmtId="0" fontId="30" fillId="0" borderId="159" xfId="0" applyFont="1" applyFill="1" applyBorder="1" applyAlignment="1"/>
    <xf numFmtId="0" fontId="34" fillId="3" borderId="161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34" fillId="3" borderId="161" xfId="0" applyFont="1" applyFill="1" applyBorder="1" applyAlignment="1">
      <alignment horizontal="center" vertical="center"/>
    </xf>
    <xf numFmtId="0" fontId="30" fillId="0" borderId="168" xfId="0" applyFont="1" applyFill="1" applyBorder="1" applyAlignment="1"/>
    <xf numFmtId="0" fontId="35" fillId="0" borderId="168" xfId="0" applyFont="1" applyFill="1" applyBorder="1" applyAlignment="1"/>
    <xf numFmtId="165" fontId="36" fillId="0" borderId="0" xfId="0" applyNumberFormat="1" applyFont="1" applyFill="1" applyBorder="1" applyAlignment="1"/>
    <xf numFmtId="0" fontId="37" fillId="0" borderId="0" xfId="0" applyFont="1" applyFill="1" applyBorder="1" applyAlignment="1"/>
    <xf numFmtId="0" fontId="2" fillId="0" borderId="0" xfId="4" applyFont="1" applyFill="1" applyAlignment="1">
      <alignment vertical="center"/>
    </xf>
    <xf numFmtId="0" fontId="2" fillId="0" borderId="0" xfId="4" applyFont="1" applyFill="1" applyBorder="1" applyAlignment="1">
      <alignment vertical="center"/>
    </xf>
    <xf numFmtId="3" fontId="2" fillId="0" borderId="0" xfId="4" applyNumberFormat="1" applyFont="1" applyFill="1" applyBorder="1" applyAlignment="1">
      <alignment vertical="center"/>
    </xf>
    <xf numFmtId="14" fontId="9" fillId="0" borderId="0" xfId="4" applyNumberFormat="1" applyFont="1" applyFill="1" applyBorder="1" applyAlignment="1">
      <alignment vertical="center"/>
    </xf>
    <xf numFmtId="3" fontId="9" fillId="6" borderId="169" xfId="4" applyNumberFormat="1" applyFont="1" applyFill="1" applyBorder="1" applyAlignment="1">
      <alignment vertical="center"/>
    </xf>
    <xf numFmtId="0" fontId="2" fillId="0" borderId="169" xfId="4" applyFont="1" applyFill="1" applyBorder="1" applyAlignment="1">
      <alignment vertical="center"/>
    </xf>
    <xf numFmtId="14" fontId="2" fillId="0" borderId="0" xfId="4" applyNumberFormat="1" applyFont="1" applyFill="1" applyBorder="1" applyAlignment="1">
      <alignment horizontal="right" vertical="center"/>
    </xf>
    <xf numFmtId="3" fontId="2" fillId="0" borderId="0" xfId="4" applyNumberFormat="1" applyFont="1" applyFill="1" applyAlignment="1">
      <alignment vertical="center"/>
    </xf>
    <xf numFmtId="14" fontId="2" fillId="0" borderId="0" xfId="4" applyNumberFormat="1" applyFont="1" applyFill="1" applyBorder="1" applyAlignment="1">
      <alignment vertical="center"/>
    </xf>
    <xf numFmtId="0" fontId="2" fillId="0" borderId="0" xfId="4" applyFont="1" applyFill="1" applyAlignment="1">
      <alignment vertical="center" wrapText="1"/>
    </xf>
    <xf numFmtId="4" fontId="2" fillId="0" borderId="0" xfId="4" applyNumberFormat="1" applyFont="1" applyFill="1" applyBorder="1" applyAlignment="1">
      <alignment vertical="center"/>
    </xf>
    <xf numFmtId="0" fontId="2" fillId="0" borderId="170" xfId="4" applyFont="1" applyFill="1" applyBorder="1" applyAlignment="1">
      <alignment vertical="center"/>
    </xf>
    <xf numFmtId="0" fontId="9" fillId="0" borderId="170" xfId="4" applyFont="1" applyFill="1" applyBorder="1" applyAlignment="1">
      <alignment vertical="center"/>
    </xf>
    <xf numFmtId="3" fontId="9" fillId="7" borderId="169" xfId="4" applyNumberFormat="1" applyFont="1" applyFill="1" applyBorder="1" applyAlignment="1">
      <alignment vertical="center"/>
    </xf>
    <xf numFmtId="0" fontId="2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right" vertical="center"/>
    </xf>
    <xf numFmtId="0" fontId="9" fillId="0" borderId="0" xfId="4" applyFont="1" applyFill="1" applyBorder="1" applyAlignment="1">
      <alignment horizontal="left" vertical="center"/>
    </xf>
    <xf numFmtId="0" fontId="5" fillId="0" borderId="1" xfId="4" applyFont="1" applyFill="1" applyBorder="1" applyAlignment="1">
      <alignment vertical="center"/>
    </xf>
    <xf numFmtId="0" fontId="5" fillId="0" borderId="2" xfId="4" applyFont="1" applyFill="1" applyBorder="1" applyAlignment="1">
      <alignment vertical="center"/>
    </xf>
    <xf numFmtId="0" fontId="5" fillId="0" borderId="2" xfId="4" applyFont="1" applyFill="1" applyBorder="1" applyAlignment="1">
      <alignment horizontal="left" vertical="center"/>
    </xf>
    <xf numFmtId="0" fontId="4" fillId="0" borderId="2" xfId="4" applyFont="1" applyFill="1" applyBorder="1" applyAlignment="1">
      <alignment horizontal="right" vertical="center"/>
    </xf>
    <xf numFmtId="0" fontId="4" fillId="0" borderId="3" xfId="4" applyFont="1" applyFill="1" applyBorder="1" applyAlignment="1">
      <alignment horizontal="left" vertical="center"/>
    </xf>
    <xf numFmtId="0" fontId="24" fillId="0" borderId="0" xfId="4" applyFont="1" applyFill="1" applyBorder="1" applyAlignment="1">
      <alignment horizontal="left" vertical="center"/>
    </xf>
    <xf numFmtId="3" fontId="4" fillId="0" borderId="2" xfId="4" applyNumberFormat="1" applyFont="1" applyFill="1" applyBorder="1" applyAlignment="1">
      <alignment vertical="center"/>
    </xf>
    <xf numFmtId="0" fontId="4" fillId="0" borderId="3" xfId="7" applyFont="1" applyFill="1" applyBorder="1" applyAlignment="1">
      <alignment vertical="center"/>
    </xf>
    <xf numFmtId="0" fontId="24" fillId="0" borderId="0" xfId="7" applyFont="1" applyFill="1" applyBorder="1" applyAlignment="1">
      <alignment vertical="center"/>
    </xf>
    <xf numFmtId="49" fontId="5" fillId="0" borderId="1" xfId="4" quotePrefix="1" applyNumberFormat="1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vertical="center"/>
    </xf>
    <xf numFmtId="3" fontId="5" fillId="0" borderId="2" xfId="4" applyNumberFormat="1" applyFont="1" applyFill="1" applyBorder="1" applyAlignment="1">
      <alignment horizontal="right" vertical="center"/>
    </xf>
    <xf numFmtId="0" fontId="5" fillId="0" borderId="2" xfId="4" applyFont="1" applyFill="1" applyBorder="1" applyAlignment="1">
      <alignment horizontal="center" vertical="center"/>
    </xf>
    <xf numFmtId="14" fontId="9" fillId="0" borderId="0" xfId="4" quotePrefix="1" applyNumberFormat="1" applyFont="1" applyFill="1" applyBorder="1" applyAlignment="1">
      <alignment horizontal="center" vertical="center"/>
    </xf>
    <xf numFmtId="165" fontId="5" fillId="0" borderId="2" xfId="4" applyNumberFormat="1" applyFont="1" applyFill="1" applyBorder="1" applyAlignment="1">
      <alignment vertical="center"/>
    </xf>
    <xf numFmtId="165" fontId="5" fillId="0" borderId="2" xfId="4" applyNumberFormat="1" applyFont="1" applyFill="1" applyBorder="1" applyAlignment="1">
      <alignment horizontal="right" vertical="center"/>
    </xf>
    <xf numFmtId="49" fontId="5" fillId="0" borderId="1" xfId="4" applyNumberFormat="1" applyFont="1" applyFill="1" applyBorder="1" applyAlignment="1">
      <alignment horizontal="center" vertical="center"/>
    </xf>
    <xf numFmtId="0" fontId="5" fillId="0" borderId="3" xfId="4" applyFont="1" applyFill="1" applyBorder="1" applyAlignment="1">
      <alignment vertical="center"/>
    </xf>
    <xf numFmtId="0" fontId="2" fillId="0" borderId="171" xfId="4" applyFont="1" applyFill="1" applyBorder="1" applyAlignment="1">
      <alignment vertical="center"/>
    </xf>
    <xf numFmtId="49" fontId="5" fillId="0" borderId="39" xfId="4" applyNumberFormat="1" applyFont="1" applyFill="1" applyBorder="1" applyAlignment="1">
      <alignment horizontal="center" vertical="center"/>
    </xf>
    <xf numFmtId="0" fontId="5" fillId="0" borderId="40" xfId="4" applyFont="1" applyFill="1" applyBorder="1" applyAlignment="1">
      <alignment horizontal="center" vertical="center" wrapText="1"/>
    </xf>
    <xf numFmtId="3" fontId="5" fillId="0" borderId="40" xfId="4" applyNumberFormat="1" applyFont="1" applyFill="1" applyBorder="1" applyAlignment="1">
      <alignment vertical="center"/>
    </xf>
    <xf numFmtId="0" fontId="5" fillId="0" borderId="40" xfId="4" applyFont="1" applyFill="1" applyBorder="1" applyAlignment="1">
      <alignment horizontal="center" vertical="center"/>
    </xf>
    <xf numFmtId="0" fontId="5" fillId="0" borderId="41" xfId="4" applyFont="1" applyFill="1" applyBorder="1" applyAlignment="1">
      <alignment vertical="center"/>
    </xf>
    <xf numFmtId="0" fontId="6" fillId="2" borderId="172" xfId="4" applyFont="1" applyFill="1" applyBorder="1" applyAlignment="1">
      <alignment horizontal="center" vertical="center" wrapText="1"/>
    </xf>
    <xf numFmtId="0" fontId="6" fillId="2" borderId="14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center" vertical="center"/>
    </xf>
    <xf numFmtId="0" fontId="22" fillId="2" borderId="140" xfId="4" applyFont="1" applyFill="1" applyBorder="1" applyAlignment="1">
      <alignment horizontal="left" vertical="center"/>
    </xf>
    <xf numFmtId="0" fontId="22" fillId="2" borderId="45" xfId="4" applyFont="1" applyFill="1" applyBorder="1" applyAlignment="1">
      <alignment horizontal="left" vertical="center"/>
    </xf>
    <xf numFmtId="0" fontId="6" fillId="2" borderId="45" xfId="4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vertical="center"/>
    </xf>
    <xf numFmtId="0" fontId="14" fillId="0" borderId="0" xfId="2" applyFont="1" applyAlignment="1">
      <alignment vertical="center"/>
    </xf>
    <xf numFmtId="0" fontId="14" fillId="0" borderId="0" xfId="2" applyFont="1" applyAlignment="1">
      <alignment vertical="center" wrapText="1"/>
    </xf>
    <xf numFmtId="0" fontId="14" fillId="0" borderId="0" xfId="2" applyFont="1" applyAlignment="1">
      <alignment horizontal="center" vertical="center"/>
    </xf>
    <xf numFmtId="165" fontId="38" fillId="0" borderId="0" xfId="2" applyNumberFormat="1" applyFont="1" applyAlignment="1">
      <alignment vertical="center" wrapText="1"/>
    </xf>
    <xf numFmtId="0" fontId="38" fillId="0" borderId="0" xfId="2" applyFont="1" applyAlignment="1">
      <alignment horizontal="right" vertical="center" wrapText="1"/>
    </xf>
    <xf numFmtId="166" fontId="38" fillId="0" borderId="0" xfId="2" applyNumberFormat="1" applyFont="1" applyFill="1" applyBorder="1" applyAlignment="1" applyProtection="1">
      <alignment horizontal="right" vertical="center"/>
      <protection locked="0"/>
    </xf>
    <xf numFmtId="0" fontId="39" fillId="0" borderId="0" xfId="2" applyFont="1" applyAlignment="1">
      <alignment vertical="center" wrapText="1"/>
    </xf>
    <xf numFmtId="0" fontId="14" fillId="0" borderId="0" xfId="2" applyFont="1" applyAlignment="1"/>
    <xf numFmtId="0" fontId="14" fillId="0" borderId="0" xfId="2" applyFont="1" applyFill="1" applyAlignment="1">
      <alignment wrapText="1"/>
    </xf>
    <xf numFmtId="165" fontId="14" fillId="0" borderId="0" xfId="2" applyNumberFormat="1" applyFont="1" applyAlignment="1"/>
    <xf numFmtId="0" fontId="31" fillId="0" borderId="0" xfId="0" applyFont="1" applyFill="1" applyBorder="1" applyAlignment="1"/>
    <xf numFmtId="0" fontId="40" fillId="0" borderId="0" xfId="2" applyFont="1">
      <alignment vertical="center"/>
    </xf>
    <xf numFmtId="0" fontId="31" fillId="0" borderId="0" xfId="2" applyFont="1" applyFill="1" applyAlignment="1">
      <alignment vertical="center" wrapText="1"/>
    </xf>
    <xf numFmtId="0" fontId="31" fillId="0" borderId="0" xfId="2" applyFont="1" applyBorder="1" applyAlignment="1">
      <alignment vertical="center" wrapText="1"/>
    </xf>
    <xf numFmtId="0" fontId="6" fillId="2" borderId="24" xfId="4" applyFont="1" applyFill="1" applyBorder="1" applyAlignment="1">
      <alignment horizontal="center" vertical="center" wrapText="1"/>
    </xf>
    <xf numFmtId="0" fontId="6" fillId="2" borderId="23" xfId="4" applyFont="1" applyFill="1" applyBorder="1" applyAlignment="1">
      <alignment horizontal="center" vertical="center" wrapText="1"/>
    </xf>
    <xf numFmtId="0" fontId="6" fillId="2" borderId="22" xfId="4" applyFont="1" applyFill="1" applyBorder="1" applyAlignment="1">
      <alignment horizontal="center" vertical="center" wrapText="1"/>
    </xf>
    <xf numFmtId="0" fontId="6" fillId="2" borderId="25" xfId="4" applyFont="1" applyFill="1" applyBorder="1" applyAlignment="1">
      <alignment horizontal="center" vertical="center" wrapText="1"/>
    </xf>
    <xf numFmtId="2" fontId="6" fillId="2" borderId="35" xfId="4" applyNumberFormat="1" applyFont="1" applyFill="1" applyBorder="1" applyAlignment="1" applyProtection="1">
      <alignment horizontal="center" vertical="center" wrapText="1"/>
      <protection locked="0"/>
    </xf>
    <xf numFmtId="14" fontId="6" fillId="2" borderId="45" xfId="4" applyNumberFormat="1" applyFont="1" applyFill="1" applyBorder="1" applyAlignment="1">
      <alignment horizontal="center" vertical="center" wrapText="1"/>
    </xf>
    <xf numFmtId="14" fontId="6" fillId="2" borderId="44" xfId="4" applyNumberFormat="1" applyFont="1" applyFill="1" applyBorder="1" applyAlignment="1">
      <alignment horizontal="center" vertical="center" wrapText="1"/>
    </xf>
    <xf numFmtId="0" fontId="6" fillId="2" borderId="45" xfId="4" applyFont="1" applyFill="1" applyBorder="1" applyAlignment="1">
      <alignment horizontal="center" vertical="center" wrapText="1"/>
    </xf>
    <xf numFmtId="0" fontId="6" fillId="2" borderId="44" xfId="4" applyFont="1" applyFill="1" applyBorder="1" applyAlignment="1">
      <alignment horizontal="center" vertical="center" wrapText="1"/>
    </xf>
    <xf numFmtId="0" fontId="6" fillId="2" borderId="52" xfId="4" applyFont="1" applyFill="1" applyBorder="1" applyAlignment="1">
      <alignment horizontal="center" vertical="center" wrapText="1"/>
    </xf>
    <xf numFmtId="0" fontId="6" fillId="2" borderId="51" xfId="4" applyFont="1" applyFill="1" applyBorder="1" applyAlignment="1">
      <alignment horizontal="center" vertical="center" wrapText="1"/>
    </xf>
    <xf numFmtId="0" fontId="4" fillId="0" borderId="47" xfId="4" applyFont="1" applyFill="1" applyBorder="1" applyAlignment="1">
      <alignment vertical="center" wrapText="1"/>
    </xf>
    <xf numFmtId="0" fontId="0" fillId="0" borderId="47" xfId="0" applyFont="1" applyFill="1" applyBorder="1" applyAlignment="1">
      <alignment vertical="center" wrapText="1"/>
    </xf>
    <xf numFmtId="0" fontId="6" fillId="2" borderId="45" xfId="4" applyNumberFormat="1" applyFont="1" applyFill="1" applyBorder="1" applyAlignment="1">
      <alignment horizontal="right" vertical="center" wrapText="1"/>
    </xf>
    <xf numFmtId="0" fontId="6" fillId="2" borderId="44" xfId="4" applyNumberFormat="1" applyFont="1" applyFill="1" applyBorder="1" applyAlignment="1">
      <alignment horizontal="right" vertical="center" wrapText="1"/>
    </xf>
    <xf numFmtId="0" fontId="17" fillId="2" borderId="0" xfId="4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6" fillId="2" borderId="23" xfId="2" applyFont="1" applyFill="1" applyBorder="1" applyAlignment="1">
      <alignment horizontal="center" vertical="center" wrapText="1"/>
    </xf>
    <xf numFmtId="0" fontId="6" fillId="2" borderId="22" xfId="2" applyFont="1" applyFill="1" applyBorder="1" applyAlignment="1">
      <alignment horizontal="center" vertical="center" wrapText="1"/>
    </xf>
    <xf numFmtId="0" fontId="6" fillId="2" borderId="24" xfId="2" applyFont="1" applyFill="1" applyBorder="1" applyAlignment="1">
      <alignment horizontal="center" vertical="center" wrapText="1"/>
    </xf>
    <xf numFmtId="0" fontId="6" fillId="2" borderId="34" xfId="2" applyFont="1" applyFill="1" applyBorder="1" applyAlignment="1" applyProtection="1">
      <alignment horizontal="center" vertical="center" wrapText="1"/>
      <protection locked="0"/>
    </xf>
    <xf numFmtId="0" fontId="6" fillId="2" borderId="93" xfId="2" applyFont="1" applyFill="1" applyBorder="1" applyAlignment="1" applyProtection="1">
      <alignment horizontal="center" vertical="center" wrapText="1"/>
      <protection locked="0"/>
    </xf>
    <xf numFmtId="0" fontId="6" fillId="2" borderId="97" xfId="2" applyFont="1" applyFill="1" applyBorder="1" applyAlignment="1" applyProtection="1">
      <alignment horizontal="center" vertical="center" wrapText="1"/>
      <protection locked="0"/>
    </xf>
    <xf numFmtId="0" fontId="6" fillId="2" borderId="91" xfId="2" applyFont="1" applyFill="1" applyBorder="1" applyAlignment="1" applyProtection="1">
      <alignment horizontal="center" vertical="center" wrapText="1"/>
      <protection locked="0"/>
    </xf>
    <xf numFmtId="0" fontId="6" fillId="2" borderId="100" xfId="2" applyFont="1" applyFill="1" applyBorder="1" applyAlignment="1" applyProtection="1">
      <alignment horizontal="center" vertical="center" wrapText="1"/>
      <protection locked="0"/>
    </xf>
    <xf numFmtId="0" fontId="6" fillId="2" borderId="87" xfId="2" applyFont="1" applyFill="1" applyBorder="1" applyAlignment="1" applyProtection="1">
      <alignment horizontal="center" vertical="center" wrapText="1"/>
      <protection locked="0"/>
    </xf>
    <xf numFmtId="0" fontId="31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6" fillId="2" borderId="44" xfId="2" applyFont="1" applyFill="1" applyBorder="1" applyAlignment="1" applyProtection="1">
      <alignment horizontal="center" vertical="center" wrapText="1"/>
      <protection locked="0"/>
    </xf>
    <xf numFmtId="0" fontId="6" fillId="2" borderId="101" xfId="2" applyFont="1" applyFill="1" applyBorder="1" applyAlignment="1" applyProtection="1">
      <alignment horizontal="center" vertical="center" wrapText="1"/>
      <protection locked="0"/>
    </xf>
    <xf numFmtId="0" fontId="6" fillId="2" borderId="98" xfId="2" applyFont="1" applyFill="1" applyBorder="1" applyAlignment="1" applyProtection="1">
      <alignment horizontal="center" vertical="center" wrapText="1"/>
      <protection locked="0"/>
    </xf>
    <xf numFmtId="0" fontId="6" fillId="2" borderId="92" xfId="2" applyFont="1" applyFill="1" applyBorder="1" applyAlignment="1" applyProtection="1">
      <alignment horizontal="center" vertical="center" wrapText="1"/>
      <protection locked="0"/>
    </xf>
    <xf numFmtId="0" fontId="6" fillId="2" borderId="95" xfId="2" applyFont="1" applyFill="1" applyBorder="1" applyAlignment="1" applyProtection="1">
      <alignment horizontal="center" vertical="center" wrapText="1"/>
      <protection locked="0"/>
    </xf>
    <xf numFmtId="0" fontId="6" fillId="2" borderId="89" xfId="2" applyFont="1" applyFill="1" applyBorder="1" applyAlignment="1" applyProtection="1">
      <alignment horizontal="center" vertical="center" wrapText="1"/>
      <protection locked="0"/>
    </xf>
    <xf numFmtId="0" fontId="6" fillId="2" borderId="52" xfId="2" applyFont="1" applyFill="1" applyBorder="1" applyAlignment="1" applyProtection="1">
      <alignment horizontal="center" vertical="center" wrapText="1"/>
      <protection locked="0"/>
    </xf>
    <xf numFmtId="0" fontId="6" fillId="2" borderId="96" xfId="2" applyFont="1" applyFill="1" applyBorder="1" applyAlignment="1" applyProtection="1">
      <alignment horizontal="center" vertical="center" wrapText="1"/>
      <protection locked="0"/>
    </xf>
    <xf numFmtId="0" fontId="6" fillId="2" borderId="90" xfId="2" applyFont="1" applyFill="1" applyBorder="1" applyAlignment="1" applyProtection="1">
      <alignment horizontal="center" vertical="center" wrapText="1"/>
      <protection locked="0"/>
    </xf>
    <xf numFmtId="0" fontId="6" fillId="2" borderId="99" xfId="2" applyFont="1" applyFill="1" applyBorder="1" applyAlignment="1" applyProtection="1">
      <alignment horizontal="center" vertical="center" wrapText="1"/>
      <protection locked="0"/>
    </xf>
    <xf numFmtId="0" fontId="6" fillId="2" borderId="86" xfId="2" applyFont="1" applyFill="1" applyBorder="1" applyAlignment="1" applyProtection="1">
      <alignment horizontal="center" vertical="center" wrapText="1"/>
      <protection locked="0"/>
    </xf>
    <xf numFmtId="0" fontId="6" fillId="2" borderId="94" xfId="2" applyFont="1" applyFill="1" applyBorder="1" applyAlignment="1" applyProtection="1">
      <alignment horizontal="center" vertical="center" wrapText="1"/>
      <protection locked="0"/>
    </xf>
    <xf numFmtId="0" fontId="6" fillId="2" borderId="88" xfId="2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Alignment="1">
      <alignment vertical="center"/>
    </xf>
    <xf numFmtId="0" fontId="6" fillId="2" borderId="112" xfId="2" applyFont="1" applyFill="1" applyBorder="1" applyAlignment="1" applyProtection="1">
      <alignment horizontal="center" vertical="center" wrapText="1"/>
      <protection locked="0"/>
    </xf>
    <xf numFmtId="0" fontId="6" fillId="2" borderId="109" xfId="2" applyFont="1" applyFill="1" applyBorder="1" applyAlignment="1" applyProtection="1">
      <alignment horizontal="center" vertical="center" wrapText="1"/>
      <protection locked="0"/>
    </xf>
    <xf numFmtId="0" fontId="6" fillId="2" borderId="110" xfId="2" applyFont="1" applyFill="1" applyBorder="1" applyAlignment="1" applyProtection="1">
      <alignment horizontal="center" vertical="center" wrapText="1"/>
      <protection locked="0"/>
    </xf>
    <xf numFmtId="0" fontId="6" fillId="2" borderId="111" xfId="2" applyFont="1" applyFill="1" applyBorder="1" applyAlignment="1" applyProtection="1">
      <alignment horizontal="center" vertical="center" wrapText="1"/>
      <protection locked="0"/>
    </xf>
    <xf numFmtId="0" fontId="6" fillId="2" borderId="113" xfId="2" applyFont="1" applyFill="1" applyBorder="1" applyAlignment="1" applyProtection="1">
      <alignment horizontal="center" vertical="center" wrapText="1"/>
      <protection locked="0"/>
    </xf>
    <xf numFmtId="0" fontId="6" fillId="2" borderId="106" xfId="2" applyFont="1" applyFill="1" applyBorder="1" applyAlignment="1" applyProtection="1">
      <alignment horizontal="center" vertical="center" wrapText="1"/>
      <protection locked="0"/>
    </xf>
    <xf numFmtId="0" fontId="6" fillId="2" borderId="108" xfId="2" applyFont="1" applyFill="1" applyBorder="1" applyAlignment="1" applyProtection="1">
      <alignment horizontal="center" vertical="center" wrapText="1"/>
      <protection locked="0"/>
    </xf>
    <xf numFmtId="0" fontId="6" fillId="2" borderId="107" xfId="2" applyFont="1" applyFill="1" applyBorder="1" applyAlignment="1" applyProtection="1">
      <alignment horizontal="center" vertical="center" wrapText="1"/>
      <protection locked="0"/>
    </xf>
    <xf numFmtId="0" fontId="4" fillId="0" borderId="49" xfId="2" applyFont="1" applyFill="1" applyBorder="1" applyAlignment="1" applyProtection="1">
      <alignment horizontal="left" vertical="center" wrapText="1"/>
      <protection locked="0"/>
    </xf>
    <xf numFmtId="0" fontId="6" fillId="4" borderId="32" xfId="2" applyFont="1" applyFill="1" applyBorder="1" applyAlignment="1" applyProtection="1">
      <alignment horizontal="center" vertical="center" wrapText="1"/>
      <protection locked="0"/>
    </xf>
    <xf numFmtId="0" fontId="6" fillId="4" borderId="129" xfId="2" applyFont="1" applyFill="1" applyBorder="1" applyAlignment="1" applyProtection="1">
      <alignment horizontal="center" vertical="center" wrapText="1"/>
      <protection locked="0"/>
    </xf>
    <xf numFmtId="0" fontId="6" fillId="4" borderId="128" xfId="2" applyFont="1" applyFill="1" applyBorder="1" applyAlignment="1" applyProtection="1">
      <alignment horizontal="center" vertical="center" wrapText="1"/>
      <protection locked="0"/>
    </xf>
    <xf numFmtId="0" fontId="4" fillId="0" borderId="128" xfId="2" applyFont="1" applyFill="1" applyBorder="1" applyAlignment="1" applyProtection="1">
      <alignment horizontal="left" vertical="center" wrapText="1"/>
      <protection locked="0"/>
    </xf>
    <xf numFmtId="0" fontId="6" fillId="2" borderId="15" xfId="2" applyFont="1" applyFill="1" applyBorder="1" applyAlignment="1" applyProtection="1">
      <alignment horizontal="center" vertical="center" wrapText="1"/>
      <protection locked="0"/>
    </xf>
    <xf numFmtId="14" fontId="6" fillId="2" borderId="45" xfId="2" applyNumberFormat="1" applyFont="1" applyFill="1" applyBorder="1" applyAlignment="1">
      <alignment horizontal="center" vertical="center" wrapText="1"/>
    </xf>
    <xf numFmtId="14" fontId="6" fillId="2" borderId="140" xfId="2" applyNumberFormat="1" applyFont="1" applyFill="1" applyBorder="1" applyAlignment="1">
      <alignment horizontal="center" vertical="center" wrapText="1"/>
    </xf>
    <xf numFmtId="0" fontId="6" fillId="2" borderId="45" xfId="2" applyNumberFormat="1" applyFont="1" applyFill="1" applyBorder="1" applyAlignment="1">
      <alignment horizontal="right" vertical="center" wrapText="1"/>
    </xf>
    <xf numFmtId="0" fontId="6" fillId="2" borderId="44" xfId="2" applyNumberFormat="1" applyFont="1" applyFill="1" applyBorder="1" applyAlignment="1">
      <alignment horizontal="right" vertical="center" wrapText="1"/>
    </xf>
    <xf numFmtId="170" fontId="6" fillId="2" borderId="42" xfId="2" applyNumberFormat="1" applyFont="1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6" fillId="2" borderId="43" xfId="2" applyFont="1" applyFill="1" applyBorder="1" applyAlignment="1">
      <alignment horizontal="center" vertical="top" wrapText="1"/>
    </xf>
    <xf numFmtId="0" fontId="0" fillId="2" borderId="14" xfId="0" applyFill="1" applyBorder="1" applyAlignment="1">
      <alignment vertical="top"/>
    </xf>
    <xf numFmtId="0" fontId="6" fillId="2" borderId="51" xfId="2" applyFont="1" applyFill="1" applyBorder="1" applyAlignment="1">
      <alignment horizontal="left" vertical="top" wrapText="1"/>
    </xf>
    <xf numFmtId="0" fontId="6" fillId="2" borderId="15" xfId="2" applyFont="1" applyFill="1" applyBorder="1" applyAlignment="1">
      <alignment horizontal="left" vertical="top" wrapText="1"/>
    </xf>
    <xf numFmtId="0" fontId="6" fillId="2" borderId="43" xfId="6" applyFont="1" applyFill="1" applyBorder="1" applyAlignment="1" applyProtection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170" fontId="6" fillId="2" borderId="43" xfId="2" applyNumberFormat="1" applyFont="1" applyFill="1" applyBorder="1" applyAlignment="1">
      <alignment horizontal="center" vertical="top" wrapText="1"/>
    </xf>
    <xf numFmtId="170" fontId="6" fillId="2" borderId="23" xfId="2" applyNumberFormat="1" applyFont="1" applyFill="1" applyBorder="1" applyAlignment="1">
      <alignment horizontal="center" vertical="top" wrapText="1"/>
    </xf>
    <xf numFmtId="0" fontId="9" fillId="0" borderId="0" xfId="2" applyFont="1" applyFill="1" applyBorder="1" applyAlignment="1" applyProtection="1">
      <alignment horizontal="left" vertical="center"/>
      <protection locked="0"/>
    </xf>
    <xf numFmtId="166" fontId="9" fillId="0" borderId="0" xfId="2" applyNumberFormat="1" applyFont="1" applyFill="1" applyBorder="1" applyAlignment="1" applyProtection="1">
      <alignment horizontal="left" vertical="center" wrapText="1"/>
      <protection locked="0"/>
    </xf>
    <xf numFmtId="0" fontId="4" fillId="0" borderId="47" xfId="2" applyFont="1" applyFill="1" applyBorder="1" applyAlignment="1" applyProtection="1">
      <alignment vertical="center"/>
      <protection locked="0"/>
    </xf>
    <xf numFmtId="0" fontId="0" fillId="0" borderId="47" xfId="0" applyBorder="1" applyAlignment="1">
      <alignment vertical="center"/>
    </xf>
    <xf numFmtId="0" fontId="6" fillId="2" borderId="0" xfId="2" applyFont="1" applyFill="1" applyAlignment="1">
      <alignment horizontal="left" vertical="center" wrapText="1"/>
    </xf>
    <xf numFmtId="0" fontId="2" fillId="2" borderId="58" xfId="2" applyFont="1" applyFill="1" applyBorder="1" applyAlignment="1">
      <alignment horizontal="left" vertical="center" wrapText="1"/>
    </xf>
    <xf numFmtId="0" fontId="34" fillId="3" borderId="160" xfId="0" applyFont="1" applyFill="1" applyBorder="1" applyAlignment="1">
      <alignment horizontal="center" vertical="center" wrapText="1"/>
    </xf>
    <xf numFmtId="0" fontId="34" fillId="3" borderId="167" xfId="0" applyFont="1" applyFill="1" applyBorder="1" applyAlignment="1">
      <alignment horizontal="center" vertical="center" wrapText="1"/>
    </xf>
    <xf numFmtId="0" fontId="34" fillId="3" borderId="164" xfId="0" applyFont="1" applyFill="1" applyBorder="1" applyAlignment="1">
      <alignment horizontal="center" vertical="center" wrapText="1"/>
    </xf>
    <xf numFmtId="0" fontId="34" fillId="3" borderId="163" xfId="0" applyFont="1" applyFill="1" applyBorder="1" applyAlignment="1">
      <alignment horizontal="center" vertical="center" wrapText="1"/>
    </xf>
    <xf numFmtId="0" fontId="34" fillId="3" borderId="161" xfId="0" applyFont="1" applyFill="1" applyBorder="1" applyAlignment="1">
      <alignment horizontal="center" vertical="center" wrapText="1"/>
    </xf>
    <xf numFmtId="0" fontId="34" fillId="3" borderId="165" xfId="0" applyFont="1" applyFill="1" applyBorder="1" applyAlignment="1">
      <alignment horizontal="center" vertical="center" wrapText="1"/>
    </xf>
    <xf numFmtId="0" fontId="34" fillId="3" borderId="162" xfId="0" applyFont="1" applyFill="1" applyBorder="1" applyAlignment="1">
      <alignment horizontal="center" vertical="center" wrapText="1"/>
    </xf>
    <xf numFmtId="0" fontId="34" fillId="3" borderId="166" xfId="0" applyFont="1" applyFill="1" applyBorder="1" applyAlignment="1">
      <alignment horizontal="center" vertical="center" wrapText="1"/>
    </xf>
    <xf numFmtId="0" fontId="0" fillId="2" borderId="166" xfId="0" applyFill="1" applyBorder="1" applyAlignment="1">
      <alignment horizontal="center" vertical="center" wrapText="1"/>
    </xf>
    <xf numFmtId="0" fontId="0" fillId="2" borderId="165" xfId="0" applyFill="1" applyBorder="1" applyAlignment="1">
      <alignment horizontal="center" vertical="center" wrapText="1"/>
    </xf>
    <xf numFmtId="0" fontId="0" fillId="2" borderId="164" xfId="0" applyFill="1" applyBorder="1" applyAlignment="1">
      <alignment horizontal="center" vertical="center" wrapText="1"/>
    </xf>
    <xf numFmtId="0" fontId="0" fillId="2" borderId="163" xfId="0" applyFill="1" applyBorder="1" applyAlignment="1">
      <alignment horizontal="center" vertical="center" wrapText="1"/>
    </xf>
  </cellXfs>
  <cellStyles count="9">
    <cellStyle name="=C:\WINNT35\SYSTEM32\COMMAND.COM" xfId="2"/>
    <cellStyle name="=C:\WINNT35\SYSTEM32\COMMAND.COM 2" xfId="4"/>
    <cellStyle name="Dziesiętny" xfId="1" builtinId="3"/>
    <cellStyle name="Dziesiętny 4" xfId="3"/>
    <cellStyle name="Dziesiętny_Noty do wklejenia do skonsolidowanego raportu rocznego-2009" xfId="5"/>
    <cellStyle name="Normalny" xfId="0" builtinId="0"/>
    <cellStyle name="Normalny 2 2" xfId="8"/>
    <cellStyle name="Normalny_I kw. 2004 Zbiorczy" xfId="6"/>
    <cellStyle name="Normalny_Kap. zak.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chunek%20zysk&#243;w%20i%20str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&amp;L"/>
      <sheetName val="Dochody całkowite"/>
      <sheetName val="Bilans"/>
      <sheetName val="Kapitały"/>
      <sheetName val="Cash Flow"/>
      <sheetName val="Nota 1 Grupa"/>
      <sheetName val="Segmenty 2016"/>
      <sheetName val="Segmenty 2015 "/>
      <sheetName val="Segmenty geograficzne"/>
      <sheetName val="Nota 6 Odsetki"/>
      <sheetName val="Nota 7 Prowizje"/>
      <sheetName val="Nota 8 Dywidendy"/>
      <sheetName val="Nota 9 Handlowy"/>
      <sheetName val="Nota 10 PPOp"/>
      <sheetName val="Nota 11 Koszty"/>
      <sheetName val="Nota 12 PKOp"/>
      <sheetName val="Nota 13 Odpisy"/>
      <sheetName val="Nota 14 Podatek"/>
      <sheetName val="Nota 15 EPS"/>
      <sheetName val="Nota 16 Dochody całkowite"/>
      <sheetName val="Nota 16A Dochody cakowite"/>
      <sheetName val="Nota 43 Środki pieniężne do CF"/>
      <sheetName val="Nota 43 do cash flow"/>
      <sheetName val="Nota 44 Opcje ZB 2008"/>
      <sheetName val="Nota 44 Opcje ZB 2012 2014"/>
      <sheetName val="Nota 44 Opcje pracowników"/>
      <sheetName val="Nota 44 Opcje prac-rozliczenie"/>
      <sheetName val="Nota 45 Transakcje powiązane"/>
      <sheetName val="Nota 45 Wynagrodzenia ZB"/>
      <sheetName val="Nota 45 Wynagrodzenia RN"/>
      <sheetName val="Nota 48 Grupa"/>
      <sheetName val="Nota 48 P&amp;L"/>
      <sheetName val="Nota 48 Bilans"/>
      <sheetName val="Nota 48 dane porównawcze BS"/>
      <sheetName val="Nota 48 dane porównawcze P&amp;L"/>
      <sheetName val="Nota 49 Wskaźniki adekwatności"/>
      <sheetName val="Nota 49 Kapitał wewnętrzny"/>
      <sheetName val="Nota 49 Fundusze"/>
      <sheetName val="Nota 49 Ryzyko kredytowe"/>
      <sheetName val="Wybr.dane BS"/>
      <sheetName val="Wybr. dane P&amp;L"/>
      <sheetName val="okresy amortyzacji-2.21"/>
    </sheetNames>
    <sheetDataSet>
      <sheetData sheetId="0">
        <row r="13">
          <cell r="D13">
            <v>261281</v>
          </cell>
        </row>
      </sheetData>
      <sheetData sheetId="1" refreshError="1"/>
      <sheetData sheetId="2">
        <row r="3">
          <cell r="D3">
            <v>9164281</v>
          </cell>
        </row>
        <row r="5">
          <cell r="D5">
            <v>3800634</v>
          </cell>
          <cell r="E5">
            <v>557541</v>
          </cell>
        </row>
        <row r="17">
          <cell r="D17">
            <v>133743502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>
        <row r="10">
          <cell r="C10">
            <v>59936</v>
          </cell>
        </row>
        <row r="11">
          <cell r="C11">
            <v>15874</v>
          </cell>
        </row>
      </sheetData>
      <sheetData sheetId="10" refreshError="1"/>
      <sheetData sheetId="11" refreshError="1"/>
      <sheetData sheetId="12">
        <row r="12">
          <cell r="C12">
            <v>-16903</v>
          </cell>
        </row>
        <row r="13">
          <cell r="C13">
            <v>20098</v>
          </cell>
        </row>
        <row r="14">
          <cell r="C14">
            <v>-17624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5">
          <cell r="C5">
            <v>69895</v>
          </cell>
        </row>
      </sheetData>
      <sheetData sheetId="18" refreshError="1"/>
      <sheetData sheetId="19" refreshError="1"/>
      <sheetData sheetId="20" refreshError="1"/>
      <sheetData sheetId="21">
        <row r="4">
          <cell r="D4">
            <v>539757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2:D11"/>
  <sheetViews>
    <sheetView workbookViewId="0">
      <selection activeCell="D23" sqref="D23"/>
    </sheetView>
  </sheetViews>
  <sheetFormatPr defaultRowHeight="10.5" x14ac:dyDescent="0.15"/>
  <cols>
    <col min="1" max="1" width="2.28515625" style="3" customWidth="1"/>
    <col min="2" max="2" width="59.7109375" style="2" customWidth="1"/>
    <col min="3" max="4" width="15.7109375" style="2" customWidth="1"/>
    <col min="5" max="16384" width="9.140625" style="1"/>
  </cols>
  <sheetData>
    <row r="2" spans="2:4" ht="17.100000000000001" customHeight="1" x14ac:dyDescent="0.15">
      <c r="B2" s="21"/>
      <c r="C2" s="20" t="s">
        <v>5</v>
      </c>
      <c r="D2" s="19" t="s">
        <v>4</v>
      </c>
    </row>
    <row r="3" spans="2:4" ht="17.100000000000001" customHeight="1" x14ac:dyDescent="0.15">
      <c r="B3" s="18" t="s">
        <v>3</v>
      </c>
      <c r="C3" s="17">
        <v>1149698</v>
      </c>
      <c r="D3" s="16">
        <v>1330045</v>
      </c>
    </row>
    <row r="4" spans="2:4" ht="17.100000000000001" customHeight="1" thickBot="1" x14ac:dyDescent="0.2">
      <c r="B4" s="15" t="s">
        <v>2</v>
      </c>
      <c r="C4" s="14">
        <v>8014583</v>
      </c>
      <c r="D4" s="13">
        <v>4608088</v>
      </c>
    </row>
    <row r="5" spans="2:4" ht="17.100000000000001" hidden="1" customHeight="1" thickBot="1" x14ac:dyDescent="0.2">
      <c r="B5" s="12" t="s">
        <v>1</v>
      </c>
      <c r="C5" s="11">
        <v>0</v>
      </c>
      <c r="D5" s="10">
        <v>0</v>
      </c>
    </row>
    <row r="6" spans="2:4" ht="17.100000000000001" customHeight="1" thickBot="1" x14ac:dyDescent="0.2">
      <c r="B6" s="9" t="s">
        <v>0</v>
      </c>
      <c r="C6" s="8">
        <f>SUM(C3:C5)</f>
        <v>9164281</v>
      </c>
      <c r="D6" s="7">
        <f>SUM(D3:D5)</f>
        <v>5938133</v>
      </c>
    </row>
    <row r="9" spans="2:4" x14ac:dyDescent="0.15">
      <c r="B9" s="5"/>
      <c r="C9" s="6"/>
      <c r="D9" s="6"/>
    </row>
    <row r="11" spans="2:4" x14ac:dyDescent="0.15">
      <c r="B11" s="5"/>
      <c r="C11" s="4"/>
      <c r="D11" s="4"/>
    </row>
  </sheetData>
  <pageMargins left="0.51" right="0.32" top="1" bottom="1" header="0.5" footer="0.5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2:H37"/>
  <sheetViews>
    <sheetView zoomScale="90" zoomScaleNormal="90" workbookViewId="0">
      <selection activeCell="C43" sqref="C43"/>
    </sheetView>
  </sheetViews>
  <sheetFormatPr defaultRowHeight="10.5" x14ac:dyDescent="0.2"/>
  <cols>
    <col min="1" max="1" width="45.7109375" style="22" customWidth="1"/>
    <col min="2" max="6" width="15.42578125" style="22" customWidth="1"/>
    <col min="7" max="7" width="15.42578125" style="22" hidden="1" customWidth="1"/>
    <col min="8" max="8" width="15.42578125" style="22" customWidth="1"/>
    <col min="9" max="16384" width="9.140625" style="22"/>
  </cols>
  <sheetData>
    <row r="2" spans="1:8" x14ac:dyDescent="0.2">
      <c r="A2" s="280"/>
      <c r="B2" s="279"/>
      <c r="C2" s="279"/>
      <c r="D2" s="279"/>
      <c r="E2" s="279"/>
      <c r="F2" s="279"/>
      <c r="G2" s="279"/>
      <c r="H2" s="279"/>
    </row>
    <row r="3" spans="1:8" ht="35.1" customHeight="1" x14ac:dyDescent="0.2">
      <c r="A3" s="278" t="s">
        <v>180</v>
      </c>
      <c r="B3" s="277" t="s">
        <v>179</v>
      </c>
      <c r="C3" s="277" t="s">
        <v>175</v>
      </c>
      <c r="D3" s="277" t="s">
        <v>174</v>
      </c>
      <c r="E3" s="277" t="s">
        <v>173</v>
      </c>
      <c r="F3" s="277" t="s">
        <v>8</v>
      </c>
      <c r="G3" s="276" t="s">
        <v>172</v>
      </c>
      <c r="H3" s="275" t="s">
        <v>178</v>
      </c>
    </row>
    <row r="4" spans="1:8" ht="18.95" customHeight="1" thickBot="1" x14ac:dyDescent="0.25">
      <c r="A4" s="274" t="s">
        <v>170</v>
      </c>
      <c r="B4" s="273">
        <f t="shared" ref="B4:G4" si="0">SUM(B5:B6,B8)</f>
        <v>-1532502</v>
      </c>
      <c r="C4" s="273">
        <f t="shared" si="0"/>
        <v>-889879</v>
      </c>
      <c r="D4" s="273">
        <f t="shared" si="0"/>
        <v>620862</v>
      </c>
      <c r="E4" s="273">
        <f t="shared" si="0"/>
        <v>-13980</v>
      </c>
      <c r="F4" s="273">
        <f t="shared" si="0"/>
        <v>300160</v>
      </c>
      <c r="G4" s="273">
        <f t="shared" si="0"/>
        <v>0</v>
      </c>
      <c r="H4" s="272">
        <f t="shared" ref="H4:H17" si="1">SUM(B4:G4)</f>
        <v>-1515339</v>
      </c>
    </row>
    <row r="5" spans="1:8" ht="18.95" customHeight="1" x14ac:dyDescent="0.2">
      <c r="A5" s="268" t="s">
        <v>167</v>
      </c>
      <c r="B5" s="266">
        <f>H23</f>
        <v>-683042</v>
      </c>
      <c r="C5" s="267">
        <v>-326194</v>
      </c>
      <c r="D5" s="267">
        <v>222533</v>
      </c>
      <c r="E5" s="267">
        <v>-26</v>
      </c>
      <c r="F5" s="267">
        <v>172350</v>
      </c>
      <c r="G5" s="266">
        <v>0</v>
      </c>
      <c r="H5" s="265">
        <f t="shared" si="1"/>
        <v>-614379</v>
      </c>
    </row>
    <row r="6" spans="1:8" ht="18.95" customHeight="1" x14ac:dyDescent="0.2">
      <c r="A6" s="222" t="s">
        <v>166</v>
      </c>
      <c r="B6" s="261">
        <f>H24</f>
        <v>-849460</v>
      </c>
      <c r="C6" s="262">
        <v>-563685</v>
      </c>
      <c r="D6" s="262">
        <v>398329</v>
      </c>
      <c r="E6" s="262">
        <v>-13954</v>
      </c>
      <c r="F6" s="262">
        <v>127810</v>
      </c>
      <c r="G6" s="261">
        <v>0</v>
      </c>
      <c r="H6" s="260">
        <f t="shared" si="1"/>
        <v>-900960</v>
      </c>
    </row>
    <row r="7" spans="1:8" ht="18.95" customHeight="1" thickBot="1" x14ac:dyDescent="0.25">
      <c r="A7" s="263" t="s">
        <v>169</v>
      </c>
      <c r="B7" s="261">
        <f>H25</f>
        <v>-491329</v>
      </c>
      <c r="C7" s="262">
        <v>-291120</v>
      </c>
      <c r="D7" s="262">
        <v>235741</v>
      </c>
      <c r="E7" s="262">
        <v>-9110</v>
      </c>
      <c r="F7" s="262">
        <v>39890</v>
      </c>
      <c r="G7" s="261">
        <v>0</v>
      </c>
      <c r="H7" s="260">
        <f t="shared" si="1"/>
        <v>-515928</v>
      </c>
    </row>
    <row r="8" spans="1:8" ht="18.95" hidden="1" customHeight="1" thickBot="1" x14ac:dyDescent="0.25">
      <c r="A8" s="271" t="s">
        <v>7</v>
      </c>
      <c r="B8" s="270">
        <f>H26</f>
        <v>0</v>
      </c>
      <c r="C8" s="258">
        <v>0</v>
      </c>
      <c r="D8" s="258">
        <v>0</v>
      </c>
      <c r="E8" s="258">
        <v>0</v>
      </c>
      <c r="F8" s="258">
        <v>0</v>
      </c>
      <c r="G8" s="270">
        <v>0</v>
      </c>
      <c r="H8" s="269">
        <f t="shared" si="1"/>
        <v>0</v>
      </c>
    </row>
    <row r="9" spans="1:8" ht="18.95" customHeight="1" thickBot="1" x14ac:dyDescent="0.25">
      <c r="A9" s="255" t="s">
        <v>168</v>
      </c>
      <c r="B9" s="254">
        <f t="shared" ref="B9:G9" si="2">SUM(B10:B11,B14,B15)</f>
        <v>-1442251</v>
      </c>
      <c r="C9" s="254">
        <f t="shared" si="2"/>
        <v>-434161</v>
      </c>
      <c r="D9" s="254">
        <f t="shared" si="2"/>
        <v>335426</v>
      </c>
      <c r="E9" s="254">
        <f t="shared" si="2"/>
        <v>-6007</v>
      </c>
      <c r="F9" s="254">
        <f t="shared" si="2"/>
        <v>245586</v>
      </c>
      <c r="G9" s="254">
        <f t="shared" si="2"/>
        <v>0</v>
      </c>
      <c r="H9" s="253">
        <f t="shared" si="1"/>
        <v>-1301407</v>
      </c>
    </row>
    <row r="10" spans="1:8" ht="18.95" customHeight="1" x14ac:dyDescent="0.2">
      <c r="A10" s="268" t="s">
        <v>167</v>
      </c>
      <c r="B10" s="266">
        <f t="shared" ref="B10:B16" si="3">H28</f>
        <v>-204860</v>
      </c>
      <c r="C10" s="267">
        <v>-98524</v>
      </c>
      <c r="D10" s="267">
        <v>64928</v>
      </c>
      <c r="E10" s="267">
        <v>10870</v>
      </c>
      <c r="F10" s="267">
        <v>37096</v>
      </c>
      <c r="G10" s="266">
        <v>0</v>
      </c>
      <c r="H10" s="265">
        <f t="shared" si="1"/>
        <v>-190490</v>
      </c>
    </row>
    <row r="11" spans="1:8" ht="18.95" customHeight="1" x14ac:dyDescent="0.2">
      <c r="A11" s="222" t="s">
        <v>166</v>
      </c>
      <c r="B11" s="261">
        <f t="shared" si="3"/>
        <v>-1187981</v>
      </c>
      <c r="C11" s="261">
        <f>SUM(C12:C13)</f>
        <v>-311476</v>
      </c>
      <c r="D11" s="261">
        <f>SUM(D12:D13)</f>
        <v>251131</v>
      </c>
      <c r="E11" s="261">
        <f>SUM(E12:E13)</f>
        <v>-16877</v>
      </c>
      <c r="F11" s="261">
        <f>SUM(F12:F13)</f>
        <v>208280</v>
      </c>
      <c r="G11" s="261">
        <f>SUM(G12:G13)</f>
        <v>0</v>
      </c>
      <c r="H11" s="260">
        <f t="shared" si="1"/>
        <v>-1056923</v>
      </c>
    </row>
    <row r="12" spans="1:8" ht="18.95" customHeight="1" x14ac:dyDescent="0.2">
      <c r="A12" s="264" t="s">
        <v>165</v>
      </c>
      <c r="B12" s="261">
        <f t="shared" si="3"/>
        <v>-157515</v>
      </c>
      <c r="C12" s="262">
        <v>-38664</v>
      </c>
      <c r="D12" s="262">
        <v>73697</v>
      </c>
      <c r="E12" s="262">
        <v>-19847</v>
      </c>
      <c r="F12" s="262">
        <v>113541</v>
      </c>
      <c r="G12" s="261">
        <v>0</v>
      </c>
      <c r="H12" s="260">
        <f t="shared" si="1"/>
        <v>-28788</v>
      </c>
    </row>
    <row r="13" spans="1:8" ht="18.95" customHeight="1" x14ac:dyDescent="0.2">
      <c r="A13" s="263" t="s">
        <v>164</v>
      </c>
      <c r="B13" s="261">
        <f t="shared" si="3"/>
        <v>-1030466</v>
      </c>
      <c r="C13" s="262">
        <v>-272812</v>
      </c>
      <c r="D13" s="262">
        <v>177434</v>
      </c>
      <c r="E13" s="262">
        <v>2970</v>
      </c>
      <c r="F13" s="262">
        <v>94739</v>
      </c>
      <c r="G13" s="261">
        <v>0</v>
      </c>
      <c r="H13" s="260">
        <f t="shared" si="1"/>
        <v>-1028135</v>
      </c>
    </row>
    <row r="14" spans="1:8" ht="18.95" customHeight="1" thickBot="1" x14ac:dyDescent="0.25">
      <c r="A14" s="222" t="s">
        <v>7</v>
      </c>
      <c r="B14" s="261">
        <f t="shared" si="3"/>
        <v>-49410</v>
      </c>
      <c r="C14" s="262">
        <v>-24161</v>
      </c>
      <c r="D14" s="262">
        <v>19367</v>
      </c>
      <c r="E14" s="262">
        <v>0</v>
      </c>
      <c r="F14" s="262">
        <v>210</v>
      </c>
      <c r="G14" s="261">
        <v>0</v>
      </c>
      <c r="H14" s="260">
        <f t="shared" si="1"/>
        <v>-53994</v>
      </c>
    </row>
    <row r="15" spans="1:8" ht="24.95" hidden="1" customHeight="1" thickBot="1" x14ac:dyDescent="0.25">
      <c r="A15" s="259" t="s">
        <v>163</v>
      </c>
      <c r="B15" s="258">
        <f t="shared" si="3"/>
        <v>0</v>
      </c>
      <c r="C15" s="258">
        <v>0</v>
      </c>
      <c r="D15" s="258">
        <v>0</v>
      </c>
      <c r="E15" s="258">
        <v>0</v>
      </c>
      <c r="F15" s="258">
        <v>0</v>
      </c>
      <c r="G15" s="258"/>
      <c r="H15" s="257">
        <f t="shared" si="1"/>
        <v>0</v>
      </c>
    </row>
    <row r="16" spans="1:8" ht="18.95" customHeight="1" thickBot="1" x14ac:dyDescent="0.25">
      <c r="A16" s="255" t="s">
        <v>162</v>
      </c>
      <c r="B16" s="254">
        <f t="shared" si="3"/>
        <v>-1111</v>
      </c>
      <c r="C16" s="256">
        <v>-197</v>
      </c>
      <c r="D16" s="256">
        <v>565</v>
      </c>
      <c r="E16" s="256">
        <v>-6</v>
      </c>
      <c r="F16" s="256">
        <v>0</v>
      </c>
      <c r="G16" s="254">
        <v>0</v>
      </c>
      <c r="H16" s="253">
        <f t="shared" si="1"/>
        <v>-749</v>
      </c>
    </row>
    <row r="17" spans="1:8" ht="24.95" customHeight="1" thickBot="1" x14ac:dyDescent="0.25">
      <c r="A17" s="255" t="s">
        <v>161</v>
      </c>
      <c r="B17" s="254">
        <f t="shared" ref="B17:G17" si="4">B4+B9+B16</f>
        <v>-2975864</v>
      </c>
      <c r="C17" s="254">
        <f t="shared" si="4"/>
        <v>-1324237</v>
      </c>
      <c r="D17" s="254">
        <f t="shared" si="4"/>
        <v>956853</v>
      </c>
      <c r="E17" s="254">
        <f t="shared" si="4"/>
        <v>-19993</v>
      </c>
      <c r="F17" s="254">
        <f t="shared" si="4"/>
        <v>545746</v>
      </c>
      <c r="G17" s="254">
        <f t="shared" si="4"/>
        <v>0</v>
      </c>
      <c r="H17" s="253">
        <f t="shared" si="1"/>
        <v>-2817495</v>
      </c>
    </row>
    <row r="19" spans="1:8" x14ac:dyDescent="0.2">
      <c r="H19" s="98">
        <f>H17-'Nota 22 Kredyty'!C18</f>
        <v>0</v>
      </c>
    </row>
    <row r="20" spans="1:8" x14ac:dyDescent="0.2">
      <c r="A20" s="280"/>
      <c r="B20" s="279"/>
      <c r="C20" s="279"/>
      <c r="D20" s="279"/>
      <c r="E20" s="279"/>
      <c r="F20" s="279"/>
      <c r="G20" s="279"/>
      <c r="H20" s="279"/>
    </row>
    <row r="21" spans="1:8" ht="35.1" customHeight="1" x14ac:dyDescent="0.2">
      <c r="A21" s="278" t="s">
        <v>177</v>
      </c>
      <c r="B21" s="277" t="s">
        <v>176</v>
      </c>
      <c r="C21" s="277" t="s">
        <v>175</v>
      </c>
      <c r="D21" s="277" t="s">
        <v>174</v>
      </c>
      <c r="E21" s="277" t="s">
        <v>173</v>
      </c>
      <c r="F21" s="277" t="s">
        <v>8</v>
      </c>
      <c r="G21" s="276" t="s">
        <v>172</v>
      </c>
      <c r="H21" s="275" t="s">
        <v>171</v>
      </c>
    </row>
    <row r="22" spans="1:8" ht="18.95" customHeight="1" thickBot="1" x14ac:dyDescent="0.25">
      <c r="A22" s="274" t="s">
        <v>170</v>
      </c>
      <c r="B22" s="273">
        <f t="shared" ref="B22:G22" si="5">SUM(B23:B24,B26)</f>
        <v>-1480413</v>
      </c>
      <c r="C22" s="273">
        <f t="shared" si="5"/>
        <v>-1154655</v>
      </c>
      <c r="D22" s="273">
        <f t="shared" si="5"/>
        <v>932620</v>
      </c>
      <c r="E22" s="273">
        <f t="shared" si="5"/>
        <v>169578</v>
      </c>
      <c r="F22" s="273">
        <f t="shared" si="5"/>
        <v>368</v>
      </c>
      <c r="G22" s="273">
        <f t="shared" si="5"/>
        <v>0</v>
      </c>
      <c r="H22" s="272">
        <f t="shared" ref="H22:H35" si="6">SUM(B22:G22)</f>
        <v>-1532502</v>
      </c>
    </row>
    <row r="23" spans="1:8" ht="18.95" customHeight="1" x14ac:dyDescent="0.2">
      <c r="A23" s="268" t="s">
        <v>167</v>
      </c>
      <c r="B23" s="266">
        <v>-593854</v>
      </c>
      <c r="C23" s="267">
        <v>-429843</v>
      </c>
      <c r="D23" s="267">
        <v>260277</v>
      </c>
      <c r="E23" s="267">
        <v>80195</v>
      </c>
      <c r="F23" s="267">
        <v>183</v>
      </c>
      <c r="G23" s="266">
        <v>0</v>
      </c>
      <c r="H23" s="265">
        <f t="shared" si="6"/>
        <v>-683042</v>
      </c>
    </row>
    <row r="24" spans="1:8" ht="18.95" customHeight="1" x14ac:dyDescent="0.2">
      <c r="A24" s="222" t="s">
        <v>166</v>
      </c>
      <c r="B24" s="261">
        <v>-886559</v>
      </c>
      <c r="C24" s="262">
        <v>-724812</v>
      </c>
      <c r="D24" s="262">
        <v>672343</v>
      </c>
      <c r="E24" s="262">
        <v>89383</v>
      </c>
      <c r="F24" s="262">
        <v>185</v>
      </c>
      <c r="G24" s="261">
        <v>0</v>
      </c>
      <c r="H24" s="260">
        <f t="shared" si="6"/>
        <v>-849460</v>
      </c>
    </row>
    <row r="25" spans="1:8" ht="18.95" customHeight="1" thickBot="1" x14ac:dyDescent="0.25">
      <c r="A25" s="263" t="s">
        <v>169</v>
      </c>
      <c r="B25" s="261">
        <v>-541352</v>
      </c>
      <c r="C25" s="262">
        <v>-454401</v>
      </c>
      <c r="D25" s="262">
        <v>429254</v>
      </c>
      <c r="E25" s="262">
        <v>75034</v>
      </c>
      <c r="F25" s="262">
        <v>136</v>
      </c>
      <c r="G25" s="261">
        <v>0</v>
      </c>
      <c r="H25" s="260">
        <f t="shared" si="6"/>
        <v>-491329</v>
      </c>
    </row>
    <row r="26" spans="1:8" ht="18.95" hidden="1" customHeight="1" thickBot="1" x14ac:dyDescent="0.25">
      <c r="A26" s="271" t="s">
        <v>7</v>
      </c>
      <c r="B26" s="270">
        <v>0</v>
      </c>
      <c r="C26" s="258">
        <v>0</v>
      </c>
      <c r="D26" s="258">
        <v>0</v>
      </c>
      <c r="E26" s="258">
        <v>0</v>
      </c>
      <c r="F26" s="258">
        <v>0</v>
      </c>
      <c r="G26" s="270">
        <v>0</v>
      </c>
      <c r="H26" s="269">
        <f t="shared" si="6"/>
        <v>0</v>
      </c>
    </row>
    <row r="27" spans="1:8" ht="18.95" customHeight="1" thickBot="1" x14ac:dyDescent="0.25">
      <c r="A27" s="255" t="s">
        <v>168</v>
      </c>
      <c r="B27" s="254">
        <f>SUM(B28:B29,B32,B33)</f>
        <v>-1309059</v>
      </c>
      <c r="C27" s="254">
        <f>SUM(C28:C29,C32,C33)</f>
        <v>-751328</v>
      </c>
      <c r="D27" s="254">
        <f>SUM(D28:D29,D32,D33)</f>
        <v>547963</v>
      </c>
      <c r="E27" s="254">
        <f>SUM(E28:E29,E32,E33)</f>
        <v>-6538</v>
      </c>
      <c r="F27" s="254">
        <f>SUM(F28:F29,F32,F33)</f>
        <v>76711</v>
      </c>
      <c r="G27" s="254">
        <f>SUM(G28:G29,G32)</f>
        <v>0</v>
      </c>
      <c r="H27" s="253">
        <f t="shared" si="6"/>
        <v>-1442251</v>
      </c>
    </row>
    <row r="28" spans="1:8" ht="18.95" customHeight="1" x14ac:dyDescent="0.2">
      <c r="A28" s="268" t="s">
        <v>167</v>
      </c>
      <c r="B28" s="266">
        <v>-241111</v>
      </c>
      <c r="C28" s="267">
        <v>-150230</v>
      </c>
      <c r="D28" s="267">
        <v>150225</v>
      </c>
      <c r="E28" s="267">
        <v>6341</v>
      </c>
      <c r="F28" s="267">
        <v>29915</v>
      </c>
      <c r="G28" s="266">
        <v>0</v>
      </c>
      <c r="H28" s="265">
        <f t="shared" si="6"/>
        <v>-204860</v>
      </c>
    </row>
    <row r="29" spans="1:8" ht="18.95" customHeight="1" x14ac:dyDescent="0.2">
      <c r="A29" s="222" t="s">
        <v>166</v>
      </c>
      <c r="B29" s="261">
        <f>SUM(B30:B31)</f>
        <v>-1061730</v>
      </c>
      <c r="C29" s="261">
        <f>SUM(C30:C31)</f>
        <v>-552420</v>
      </c>
      <c r="D29" s="261">
        <f>SUM(D30:D31)</f>
        <v>396823</v>
      </c>
      <c r="E29" s="261">
        <f>SUM(E30:E31)</f>
        <v>-12879</v>
      </c>
      <c r="F29" s="261">
        <f>SUM(F30:F31)</f>
        <v>42225</v>
      </c>
      <c r="G29" s="261">
        <v>0</v>
      </c>
      <c r="H29" s="260">
        <f t="shared" si="6"/>
        <v>-1187981</v>
      </c>
    </row>
    <row r="30" spans="1:8" ht="18.95" customHeight="1" x14ac:dyDescent="0.2">
      <c r="A30" s="264" t="s">
        <v>165</v>
      </c>
      <c r="B30" s="261">
        <v>-193948</v>
      </c>
      <c r="C30" s="262">
        <v>-173802</v>
      </c>
      <c r="D30" s="262">
        <v>205938</v>
      </c>
      <c r="E30" s="262">
        <v>-184</v>
      </c>
      <c r="F30" s="262">
        <v>4481</v>
      </c>
      <c r="G30" s="261">
        <v>0</v>
      </c>
      <c r="H30" s="260">
        <f t="shared" si="6"/>
        <v>-157515</v>
      </c>
    </row>
    <row r="31" spans="1:8" ht="18.95" customHeight="1" x14ac:dyDescent="0.2">
      <c r="A31" s="263" t="s">
        <v>164</v>
      </c>
      <c r="B31" s="261">
        <v>-867782</v>
      </c>
      <c r="C31" s="262">
        <v>-378618</v>
      </c>
      <c r="D31" s="262">
        <v>190885</v>
      </c>
      <c r="E31" s="262">
        <v>-12695</v>
      </c>
      <c r="F31" s="262">
        <v>37744</v>
      </c>
      <c r="G31" s="261">
        <v>0</v>
      </c>
      <c r="H31" s="260">
        <f t="shared" si="6"/>
        <v>-1030466</v>
      </c>
    </row>
    <row r="32" spans="1:8" ht="18.95" customHeight="1" x14ac:dyDescent="0.2">
      <c r="A32" s="222" t="s">
        <v>7</v>
      </c>
      <c r="B32" s="261">
        <v>-7007</v>
      </c>
      <c r="C32" s="262">
        <v>-48678</v>
      </c>
      <c r="D32" s="262">
        <v>1704</v>
      </c>
      <c r="E32" s="262">
        <v>0</v>
      </c>
      <c r="F32" s="262">
        <v>4571</v>
      </c>
      <c r="G32" s="261">
        <v>0</v>
      </c>
      <c r="H32" s="260">
        <f t="shared" si="6"/>
        <v>-49410</v>
      </c>
    </row>
    <row r="33" spans="1:8" ht="24.95" customHeight="1" thickBot="1" x14ac:dyDescent="0.25">
      <c r="A33" s="259" t="s">
        <v>163</v>
      </c>
      <c r="B33" s="258">
        <v>789</v>
      </c>
      <c r="C33" s="258">
        <v>0</v>
      </c>
      <c r="D33" s="258">
        <v>-789</v>
      </c>
      <c r="E33" s="258">
        <v>0</v>
      </c>
      <c r="F33" s="258">
        <v>0</v>
      </c>
      <c r="G33" s="258">
        <v>0</v>
      </c>
      <c r="H33" s="257">
        <f t="shared" si="6"/>
        <v>0</v>
      </c>
    </row>
    <row r="34" spans="1:8" ht="18.95" customHeight="1" thickBot="1" x14ac:dyDescent="0.25">
      <c r="A34" s="255" t="s">
        <v>162</v>
      </c>
      <c r="B34" s="254">
        <v>-1369</v>
      </c>
      <c r="C34" s="256">
        <v>-8462</v>
      </c>
      <c r="D34" s="256">
        <v>8780</v>
      </c>
      <c r="E34" s="256">
        <v>-64</v>
      </c>
      <c r="F34" s="256">
        <v>4</v>
      </c>
      <c r="G34" s="254">
        <v>0</v>
      </c>
      <c r="H34" s="253">
        <f t="shared" si="6"/>
        <v>-1111</v>
      </c>
    </row>
    <row r="35" spans="1:8" ht="24.95" customHeight="1" thickBot="1" x14ac:dyDescent="0.25">
      <c r="A35" s="255" t="s">
        <v>161</v>
      </c>
      <c r="B35" s="254">
        <f t="shared" ref="B35:G35" si="7">B22+B27+B34</f>
        <v>-2790841</v>
      </c>
      <c r="C35" s="254">
        <f t="shared" si="7"/>
        <v>-1914445</v>
      </c>
      <c r="D35" s="254">
        <f t="shared" si="7"/>
        <v>1489363</v>
      </c>
      <c r="E35" s="254">
        <f t="shared" si="7"/>
        <v>162976</v>
      </c>
      <c r="F35" s="254">
        <f t="shared" si="7"/>
        <v>77083</v>
      </c>
      <c r="G35" s="254">
        <f t="shared" si="7"/>
        <v>0</v>
      </c>
      <c r="H35" s="253">
        <f t="shared" si="6"/>
        <v>-2975864</v>
      </c>
    </row>
    <row r="37" spans="1:8" x14ac:dyDescent="0.2">
      <c r="H37" s="98">
        <f>H35-'Nota 22 Kredyty'!D18</f>
        <v>0</v>
      </c>
    </row>
  </sheetData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2:K11"/>
  <sheetViews>
    <sheetView workbookViewId="0">
      <selection activeCell="A26" sqref="A26"/>
    </sheetView>
  </sheetViews>
  <sheetFormatPr defaultRowHeight="10.5" x14ac:dyDescent="0.15"/>
  <cols>
    <col min="1" max="1" width="40.7109375" style="1" customWidth="1"/>
    <col min="2" max="5" width="15.140625" style="1" customWidth="1"/>
    <col min="6" max="6" width="10.7109375" style="1" customWidth="1"/>
    <col min="7" max="7" width="14.42578125" style="1" customWidth="1"/>
    <col min="8" max="9" width="10.5703125" style="1" bestFit="1" customWidth="1"/>
    <col min="10" max="16384" width="9.140625" style="1"/>
  </cols>
  <sheetData>
    <row r="2" spans="1:11" ht="11.25" thickBot="1" x14ac:dyDescent="0.2"/>
    <row r="3" spans="1:11" ht="17.100000000000001" customHeight="1" thickBot="1" x14ac:dyDescent="0.2">
      <c r="A3" s="946" t="s">
        <v>181</v>
      </c>
      <c r="B3" s="944" t="s">
        <v>5</v>
      </c>
      <c r="C3" s="944"/>
      <c r="D3" s="944" t="s">
        <v>4</v>
      </c>
      <c r="E3" s="945"/>
    </row>
    <row r="4" spans="1:11" ht="24.95" customHeight="1" thickBot="1" x14ac:dyDescent="0.2">
      <c r="A4" s="946"/>
      <c r="B4" s="307" t="s">
        <v>37</v>
      </c>
      <c r="C4" s="307" t="s">
        <v>36</v>
      </c>
      <c r="D4" s="307" t="s">
        <v>37</v>
      </c>
      <c r="E4" s="306" t="s">
        <v>36</v>
      </c>
    </row>
    <row r="5" spans="1:11" ht="17.100000000000001" customHeight="1" x14ac:dyDescent="0.15">
      <c r="A5" s="305" t="s">
        <v>35</v>
      </c>
      <c r="B5" s="304">
        <v>77405640</v>
      </c>
      <c r="C5" s="303">
        <f>B5/B8*100</f>
        <v>91.516828434718008</v>
      </c>
      <c r="D5" s="302">
        <v>74325196</v>
      </c>
      <c r="E5" s="301">
        <v>91.298040361673188</v>
      </c>
      <c r="F5" s="300"/>
    </row>
    <row r="6" spans="1:11" ht="17.100000000000001" customHeight="1" x14ac:dyDescent="0.15">
      <c r="A6" s="299" t="s">
        <v>34</v>
      </c>
      <c r="B6" s="298">
        <v>2637974</v>
      </c>
      <c r="C6" s="297">
        <f>B6/B8*100</f>
        <v>3.1188814403349263</v>
      </c>
      <c r="D6" s="296">
        <v>2452742</v>
      </c>
      <c r="E6" s="295">
        <v>3.0128482690146017</v>
      </c>
    </row>
    <row r="7" spans="1:11" ht="17.100000000000001" customHeight="1" thickBot="1" x14ac:dyDescent="0.2">
      <c r="A7" s="294" t="s">
        <v>33</v>
      </c>
      <c r="B7" s="293">
        <v>4537158</v>
      </c>
      <c r="C7" s="292">
        <f>B7/B8*100</f>
        <v>5.3642901249470745</v>
      </c>
      <c r="D7" s="291">
        <v>4631472</v>
      </c>
      <c r="E7" s="290">
        <v>5.6891113693122204</v>
      </c>
    </row>
    <row r="8" spans="1:11" ht="17.100000000000001" customHeight="1" thickBot="1" x14ac:dyDescent="0.2">
      <c r="A8" s="285" t="s">
        <v>32</v>
      </c>
      <c r="B8" s="283">
        <f>SUM(B5:B7)</f>
        <v>84580772</v>
      </c>
      <c r="C8" s="284">
        <v>100</v>
      </c>
      <c r="D8" s="283">
        <f>SUM(D5:D7)</f>
        <v>81409410</v>
      </c>
      <c r="E8" s="282">
        <v>100</v>
      </c>
      <c r="F8" s="40"/>
      <c r="G8" s="281"/>
      <c r="H8" s="281"/>
    </row>
    <row r="9" spans="1:11" ht="24.95" customHeight="1" thickBot="1" x14ac:dyDescent="0.2">
      <c r="A9" s="289" t="s">
        <v>31</v>
      </c>
      <c r="B9" s="287">
        <v>-2817495</v>
      </c>
      <c r="C9" s="288">
        <f>-B9/B8*100</f>
        <v>3.3311294439355557</v>
      </c>
      <c r="D9" s="287">
        <v>-2975864</v>
      </c>
      <c r="E9" s="286">
        <f>-D9/D8*100</f>
        <v>3.6554300049588857</v>
      </c>
      <c r="I9" s="37"/>
      <c r="K9" s="37"/>
    </row>
    <row r="10" spans="1:11" ht="17.100000000000001" customHeight="1" thickBot="1" x14ac:dyDescent="0.2">
      <c r="A10" s="285" t="s">
        <v>30</v>
      </c>
      <c r="B10" s="283">
        <f>SUM(B8:B9)</f>
        <v>81763277</v>
      </c>
      <c r="C10" s="284">
        <f>C8-C9</f>
        <v>96.668870556064448</v>
      </c>
      <c r="D10" s="283">
        <f>SUM(D8:D9)</f>
        <v>78433546</v>
      </c>
      <c r="E10" s="282">
        <v>96.34</v>
      </c>
      <c r="F10" s="40"/>
      <c r="G10" s="281"/>
      <c r="H10" s="281"/>
    </row>
    <row r="11" spans="1:11" x14ac:dyDescent="0.15">
      <c r="A11" s="70"/>
      <c r="B11" s="69"/>
      <c r="C11" s="69"/>
      <c r="D11" s="68"/>
      <c r="E11" s="67"/>
    </row>
  </sheetData>
  <mergeCells count="3">
    <mergeCell ref="D3:E3"/>
    <mergeCell ref="A3:A4"/>
    <mergeCell ref="B3:C3"/>
  </mergeCells>
  <pageMargins left="0.75" right="0.75" top="1" bottom="1" header="0.5" footer="0.5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N41"/>
  <sheetViews>
    <sheetView topLeftCell="A13" workbookViewId="0">
      <selection activeCell="P13" sqref="P13"/>
    </sheetView>
  </sheetViews>
  <sheetFormatPr defaultColWidth="18.42578125" defaultRowHeight="10.5" x14ac:dyDescent="0.2"/>
  <cols>
    <col min="1" max="1" width="18" style="22" customWidth="1"/>
    <col min="2" max="4" width="13.7109375" style="22" customWidth="1"/>
    <col min="5" max="5" width="13.7109375" style="22" hidden="1" customWidth="1"/>
    <col min="6" max="13" width="13.7109375" style="22" customWidth="1"/>
    <col min="14" max="16384" width="18.42578125" style="22"/>
  </cols>
  <sheetData>
    <row r="1" spans="1:14" ht="24.75" customHeight="1" x14ac:dyDescent="0.2">
      <c r="A1" s="953" t="s">
        <v>198</v>
      </c>
      <c r="B1" s="954"/>
      <c r="C1" s="954"/>
      <c r="D1" s="954"/>
      <c r="E1" s="954"/>
      <c r="F1" s="954"/>
      <c r="G1" s="310"/>
      <c r="H1" s="310"/>
      <c r="I1" s="310"/>
      <c r="J1" s="310"/>
      <c r="K1" s="310"/>
      <c r="L1" s="310"/>
    </row>
    <row r="2" spans="1:14" ht="20.100000000000001" customHeight="1" thickBot="1" x14ac:dyDescent="0.25">
      <c r="A2" s="339" t="s">
        <v>197</v>
      </c>
      <c r="B2" s="955" t="s">
        <v>194</v>
      </c>
      <c r="C2" s="956"/>
      <c r="D2" s="956"/>
      <c r="E2" s="338"/>
      <c r="F2" s="955" t="s">
        <v>193</v>
      </c>
      <c r="G2" s="956"/>
      <c r="H2" s="956"/>
      <c r="I2" s="956"/>
      <c r="J2" s="961"/>
      <c r="K2" s="951" t="s">
        <v>192</v>
      </c>
      <c r="L2" s="951" t="s">
        <v>23</v>
      </c>
      <c r="M2" s="964" t="s">
        <v>191</v>
      </c>
    </row>
    <row r="3" spans="1:14" ht="17.25" customHeight="1" x14ac:dyDescent="0.2">
      <c r="A3" s="947" t="s">
        <v>42</v>
      </c>
      <c r="B3" s="957" t="s">
        <v>167</v>
      </c>
      <c r="C3" s="959" t="s">
        <v>189</v>
      </c>
      <c r="D3" s="337" t="s">
        <v>190</v>
      </c>
      <c r="E3" s="949" t="s">
        <v>7</v>
      </c>
      <c r="F3" s="962" t="s">
        <v>167</v>
      </c>
      <c r="G3" s="959" t="s">
        <v>189</v>
      </c>
      <c r="H3" s="959"/>
      <c r="I3" s="959" t="s">
        <v>188</v>
      </c>
      <c r="J3" s="966" t="s">
        <v>7</v>
      </c>
      <c r="K3" s="952"/>
      <c r="L3" s="952"/>
      <c r="M3" s="965"/>
    </row>
    <row r="4" spans="1:14" ht="53.25" customHeight="1" x14ac:dyDescent="0.2">
      <c r="A4" s="948"/>
      <c r="B4" s="958"/>
      <c r="C4" s="960"/>
      <c r="D4" s="336" t="s">
        <v>187</v>
      </c>
      <c r="E4" s="950"/>
      <c r="F4" s="963"/>
      <c r="G4" s="336" t="s">
        <v>186</v>
      </c>
      <c r="H4" s="336" t="s">
        <v>185</v>
      </c>
      <c r="I4" s="960"/>
      <c r="J4" s="967"/>
      <c r="K4" s="952"/>
      <c r="L4" s="952"/>
      <c r="M4" s="965"/>
    </row>
    <row r="5" spans="1:14" ht="18.95" customHeight="1" x14ac:dyDescent="0.2">
      <c r="A5" s="335">
        <v>1</v>
      </c>
      <c r="B5" s="334">
        <v>159577</v>
      </c>
      <c r="C5" s="333">
        <v>10247838</v>
      </c>
      <c r="D5" s="333">
        <v>10334730</v>
      </c>
      <c r="E5" s="333">
        <v>0</v>
      </c>
      <c r="F5" s="333">
        <v>91092</v>
      </c>
      <c r="G5" s="333">
        <v>44111</v>
      </c>
      <c r="H5" s="333">
        <v>637508</v>
      </c>
      <c r="I5" s="333">
        <v>0</v>
      </c>
      <c r="J5" s="332">
        <v>20439</v>
      </c>
      <c r="K5" s="331">
        <v>167180</v>
      </c>
      <c r="L5" s="331">
        <v>0</v>
      </c>
      <c r="M5" s="330">
        <f t="shared" ref="M5:M15" si="0">SUM(E5:L5,B5:C5)</f>
        <v>11367745</v>
      </c>
    </row>
    <row r="6" spans="1:14" ht="18.95" customHeight="1" x14ac:dyDescent="0.2">
      <c r="A6" s="329">
        <v>2</v>
      </c>
      <c r="B6" s="328">
        <v>1336592</v>
      </c>
      <c r="C6" s="326">
        <v>20751325</v>
      </c>
      <c r="D6" s="326">
        <v>18959089</v>
      </c>
      <c r="E6" s="326">
        <v>0</v>
      </c>
      <c r="F6" s="326">
        <v>873695</v>
      </c>
      <c r="G6" s="326">
        <v>1925685</v>
      </c>
      <c r="H6" s="326">
        <v>1895384</v>
      </c>
      <c r="I6" s="326">
        <v>0</v>
      </c>
      <c r="J6" s="325">
        <v>151531</v>
      </c>
      <c r="K6" s="324">
        <v>680603</v>
      </c>
      <c r="L6" s="324">
        <v>0</v>
      </c>
      <c r="M6" s="323">
        <f t="shared" si="0"/>
        <v>27614815</v>
      </c>
    </row>
    <row r="7" spans="1:14" ht="18.95" customHeight="1" x14ac:dyDescent="0.2">
      <c r="A7" s="329">
        <v>3</v>
      </c>
      <c r="B7" s="328">
        <v>1010228</v>
      </c>
      <c r="C7" s="326">
        <v>3766119</v>
      </c>
      <c r="D7" s="326">
        <v>2153346</v>
      </c>
      <c r="E7" s="326">
        <v>0</v>
      </c>
      <c r="F7" s="326">
        <v>580802</v>
      </c>
      <c r="G7" s="326">
        <v>1420445</v>
      </c>
      <c r="H7" s="326">
        <v>9010926</v>
      </c>
      <c r="I7" s="326">
        <v>0</v>
      </c>
      <c r="J7" s="325">
        <v>6</v>
      </c>
      <c r="K7" s="324">
        <v>343154</v>
      </c>
      <c r="L7" s="324">
        <v>0</v>
      </c>
      <c r="M7" s="323">
        <f t="shared" si="0"/>
        <v>16131680</v>
      </c>
    </row>
    <row r="8" spans="1:14" ht="18.95" customHeight="1" x14ac:dyDescent="0.2">
      <c r="A8" s="329">
        <v>4</v>
      </c>
      <c r="B8" s="328">
        <v>1753167</v>
      </c>
      <c r="C8" s="326">
        <v>2939356</v>
      </c>
      <c r="D8" s="326">
        <v>928821</v>
      </c>
      <c r="E8" s="326">
        <v>0</v>
      </c>
      <c r="F8" s="326">
        <v>1721292</v>
      </c>
      <c r="G8" s="326">
        <v>1369798</v>
      </c>
      <c r="H8" s="326">
        <v>6147027</v>
      </c>
      <c r="I8" s="326">
        <v>0</v>
      </c>
      <c r="J8" s="325">
        <v>0</v>
      </c>
      <c r="K8" s="324">
        <v>36121</v>
      </c>
      <c r="L8" s="324">
        <v>0</v>
      </c>
      <c r="M8" s="323">
        <f t="shared" si="0"/>
        <v>13966761</v>
      </c>
    </row>
    <row r="9" spans="1:14" ht="18.95" customHeight="1" x14ac:dyDescent="0.2">
      <c r="A9" s="329">
        <v>5</v>
      </c>
      <c r="B9" s="328">
        <v>685038</v>
      </c>
      <c r="C9" s="326">
        <v>1125769</v>
      </c>
      <c r="D9" s="326">
        <v>495591</v>
      </c>
      <c r="E9" s="326">
        <v>0</v>
      </c>
      <c r="F9" s="326">
        <v>429849</v>
      </c>
      <c r="G9" s="326">
        <v>127158</v>
      </c>
      <c r="H9" s="326">
        <v>2718618</v>
      </c>
      <c r="I9" s="326">
        <v>0</v>
      </c>
      <c r="J9" s="325">
        <v>0</v>
      </c>
      <c r="K9" s="324">
        <v>260</v>
      </c>
      <c r="L9" s="324">
        <v>0</v>
      </c>
      <c r="M9" s="323">
        <f t="shared" si="0"/>
        <v>5086692</v>
      </c>
    </row>
    <row r="10" spans="1:14" ht="18.95" customHeight="1" x14ac:dyDescent="0.2">
      <c r="A10" s="329">
        <v>6</v>
      </c>
      <c r="B10" s="328">
        <v>54296</v>
      </c>
      <c r="C10" s="326">
        <v>114492</v>
      </c>
      <c r="D10" s="326">
        <v>65706</v>
      </c>
      <c r="E10" s="326">
        <v>0</v>
      </c>
      <c r="F10" s="326">
        <v>18510</v>
      </c>
      <c r="G10" s="326">
        <v>344</v>
      </c>
      <c r="H10" s="326">
        <v>140989</v>
      </c>
      <c r="I10" s="326">
        <v>0</v>
      </c>
      <c r="J10" s="325">
        <v>0</v>
      </c>
      <c r="K10" s="324">
        <v>0</v>
      </c>
      <c r="L10" s="324">
        <v>0</v>
      </c>
      <c r="M10" s="323">
        <f t="shared" si="0"/>
        <v>328631</v>
      </c>
    </row>
    <row r="11" spans="1:14" ht="18.95" customHeight="1" x14ac:dyDescent="0.2">
      <c r="A11" s="329">
        <v>7</v>
      </c>
      <c r="B11" s="328">
        <v>125959</v>
      </c>
      <c r="C11" s="326">
        <v>292173</v>
      </c>
      <c r="D11" s="326">
        <v>182398</v>
      </c>
      <c r="E11" s="326">
        <v>0</v>
      </c>
      <c r="F11" s="326">
        <v>20358</v>
      </c>
      <c r="G11" s="326">
        <v>6552</v>
      </c>
      <c r="H11" s="326">
        <v>598960</v>
      </c>
      <c r="I11" s="326">
        <v>0</v>
      </c>
      <c r="J11" s="325">
        <v>0</v>
      </c>
      <c r="K11" s="324">
        <v>0</v>
      </c>
      <c r="L11" s="324">
        <v>0</v>
      </c>
      <c r="M11" s="323">
        <f t="shared" si="0"/>
        <v>1044002</v>
      </c>
    </row>
    <row r="12" spans="1:14" ht="18.95" customHeight="1" x14ac:dyDescent="0.2">
      <c r="A12" s="329">
        <v>8</v>
      </c>
      <c r="B12" s="328">
        <v>29661</v>
      </c>
      <c r="C12" s="326">
        <v>0</v>
      </c>
      <c r="D12" s="326">
        <v>0</v>
      </c>
      <c r="E12" s="326">
        <v>0</v>
      </c>
      <c r="F12" s="326">
        <v>31226</v>
      </c>
      <c r="G12" s="326">
        <v>0</v>
      </c>
      <c r="H12" s="326">
        <v>0</v>
      </c>
      <c r="I12" s="326">
        <v>56676</v>
      </c>
      <c r="J12" s="325">
        <v>0</v>
      </c>
      <c r="K12" s="324">
        <v>0</v>
      </c>
      <c r="L12" s="324">
        <v>228410</v>
      </c>
      <c r="M12" s="323">
        <f t="shared" si="0"/>
        <v>345973</v>
      </c>
    </row>
    <row r="13" spans="1:14" ht="18.95" customHeight="1" x14ac:dyDescent="0.2">
      <c r="A13" s="329" t="s">
        <v>184</v>
      </c>
      <c r="B13" s="328">
        <v>0</v>
      </c>
      <c r="C13" s="327">
        <v>0</v>
      </c>
      <c r="D13" s="326">
        <v>0</v>
      </c>
      <c r="E13" s="326">
        <v>0</v>
      </c>
      <c r="F13" s="326">
        <v>0</v>
      </c>
      <c r="G13" s="326">
        <v>0</v>
      </c>
      <c r="H13" s="326">
        <v>0</v>
      </c>
      <c r="I13" s="326">
        <v>0</v>
      </c>
      <c r="J13" s="325">
        <v>1482743</v>
      </c>
      <c r="K13" s="324">
        <v>0</v>
      </c>
      <c r="L13" s="324">
        <v>0</v>
      </c>
      <c r="M13" s="323">
        <f t="shared" si="0"/>
        <v>1482743</v>
      </c>
    </row>
    <row r="14" spans="1:14" ht="18.95" customHeight="1" thickBot="1" x14ac:dyDescent="0.25">
      <c r="A14" s="322" t="s">
        <v>196</v>
      </c>
      <c r="B14" s="321">
        <v>2275</v>
      </c>
      <c r="C14" s="320">
        <v>34309</v>
      </c>
      <c r="D14" s="320">
        <v>28680</v>
      </c>
      <c r="E14" s="320">
        <v>0</v>
      </c>
      <c r="F14" s="320">
        <v>0</v>
      </c>
      <c r="G14" s="320">
        <v>0</v>
      </c>
      <c r="H14" s="320">
        <v>0</v>
      </c>
      <c r="I14" s="320">
        <v>0</v>
      </c>
      <c r="J14" s="319">
        <v>0</v>
      </c>
      <c r="K14" s="318">
        <v>0</v>
      </c>
      <c r="L14" s="318">
        <v>14</v>
      </c>
      <c r="M14" s="317">
        <f t="shared" si="0"/>
        <v>36598</v>
      </c>
    </row>
    <row r="15" spans="1:14" ht="18.95" customHeight="1" thickBot="1" x14ac:dyDescent="0.25">
      <c r="A15" s="255" t="s">
        <v>39</v>
      </c>
      <c r="B15" s="316">
        <f t="shared" ref="B15:L15" si="1">SUM(B5:B14)</f>
        <v>5156793</v>
      </c>
      <c r="C15" s="315">
        <f t="shared" si="1"/>
        <v>39271381</v>
      </c>
      <c r="D15" s="315">
        <f t="shared" si="1"/>
        <v>33148361</v>
      </c>
      <c r="E15" s="315">
        <f t="shared" si="1"/>
        <v>0</v>
      </c>
      <c r="F15" s="315">
        <f t="shared" si="1"/>
        <v>3766824</v>
      </c>
      <c r="G15" s="315">
        <f t="shared" si="1"/>
        <v>4894093</v>
      </c>
      <c r="H15" s="315">
        <f t="shared" si="1"/>
        <v>21149412</v>
      </c>
      <c r="I15" s="315">
        <f t="shared" si="1"/>
        <v>56676</v>
      </c>
      <c r="J15" s="314">
        <f t="shared" si="1"/>
        <v>1654719</v>
      </c>
      <c r="K15" s="313">
        <f t="shared" si="1"/>
        <v>1227318</v>
      </c>
      <c r="L15" s="313">
        <f t="shared" si="1"/>
        <v>228424</v>
      </c>
      <c r="M15" s="312">
        <f t="shared" si="0"/>
        <v>77405640</v>
      </c>
      <c r="N15" s="33"/>
    </row>
    <row r="16" spans="1:14" x14ac:dyDescent="0.2">
      <c r="A16" s="340"/>
      <c r="B16" s="279"/>
      <c r="C16" s="279"/>
      <c r="D16" s="279"/>
      <c r="E16" s="279"/>
      <c r="F16" s="279"/>
      <c r="M16" s="341">
        <f>M15-'Nota 22 Kredyty jakość'!B5</f>
        <v>0</v>
      </c>
    </row>
    <row r="17" spans="1:14" x14ac:dyDescent="0.2">
      <c r="A17" s="340"/>
      <c r="B17" s="279"/>
      <c r="C17" s="279"/>
      <c r="D17" s="279"/>
      <c r="E17" s="279"/>
      <c r="F17" s="279"/>
      <c r="M17" s="279"/>
    </row>
    <row r="18" spans="1:14" ht="20.100000000000001" customHeight="1" thickBot="1" x14ac:dyDescent="0.25">
      <c r="A18" s="339" t="s">
        <v>195</v>
      </c>
      <c r="B18" s="955" t="s">
        <v>194</v>
      </c>
      <c r="C18" s="956"/>
      <c r="D18" s="956"/>
      <c r="E18" s="338"/>
      <c r="F18" s="955" t="s">
        <v>193</v>
      </c>
      <c r="G18" s="956"/>
      <c r="H18" s="956"/>
      <c r="I18" s="956"/>
      <c r="J18" s="961"/>
      <c r="K18" s="951" t="s">
        <v>192</v>
      </c>
      <c r="L18" s="951" t="s">
        <v>23</v>
      </c>
      <c r="M18" s="964" t="s">
        <v>191</v>
      </c>
    </row>
    <row r="19" spans="1:14" ht="17.25" customHeight="1" x14ac:dyDescent="0.2">
      <c r="A19" s="947" t="s">
        <v>42</v>
      </c>
      <c r="B19" s="957" t="s">
        <v>167</v>
      </c>
      <c r="C19" s="959" t="s">
        <v>189</v>
      </c>
      <c r="D19" s="337" t="s">
        <v>190</v>
      </c>
      <c r="E19" s="949" t="s">
        <v>7</v>
      </c>
      <c r="F19" s="962" t="s">
        <v>167</v>
      </c>
      <c r="G19" s="959" t="s">
        <v>189</v>
      </c>
      <c r="H19" s="959"/>
      <c r="I19" s="959" t="s">
        <v>188</v>
      </c>
      <c r="J19" s="966" t="s">
        <v>7</v>
      </c>
      <c r="K19" s="952"/>
      <c r="L19" s="952"/>
      <c r="M19" s="965"/>
    </row>
    <row r="20" spans="1:14" ht="53.25" customHeight="1" x14ac:dyDescent="0.2">
      <c r="A20" s="948"/>
      <c r="B20" s="958"/>
      <c r="C20" s="960"/>
      <c r="D20" s="336" t="s">
        <v>187</v>
      </c>
      <c r="E20" s="950"/>
      <c r="F20" s="963"/>
      <c r="G20" s="336" t="s">
        <v>186</v>
      </c>
      <c r="H20" s="336" t="s">
        <v>185</v>
      </c>
      <c r="I20" s="960"/>
      <c r="J20" s="967"/>
      <c r="K20" s="952"/>
      <c r="L20" s="952"/>
      <c r="M20" s="965"/>
    </row>
    <row r="21" spans="1:14" ht="18.95" customHeight="1" x14ac:dyDescent="0.2">
      <c r="A21" s="335">
        <v>1</v>
      </c>
      <c r="B21" s="334">
        <v>73738</v>
      </c>
      <c r="C21" s="333">
        <v>3352215</v>
      </c>
      <c r="D21" s="333">
        <v>3316206</v>
      </c>
      <c r="E21" s="333">
        <v>0</v>
      </c>
      <c r="F21" s="333">
        <v>171207</v>
      </c>
      <c r="G21" s="333">
        <v>136737</v>
      </c>
      <c r="H21" s="333">
        <v>624044</v>
      </c>
      <c r="I21" s="333">
        <v>0</v>
      </c>
      <c r="J21" s="332">
        <v>15857</v>
      </c>
      <c r="K21" s="331">
        <v>165419</v>
      </c>
      <c r="L21" s="331">
        <v>0</v>
      </c>
      <c r="M21" s="330">
        <f t="shared" ref="M21:M31" si="2">SUM(E21:L21,B21:C21)</f>
        <v>4539217</v>
      </c>
    </row>
    <row r="22" spans="1:14" ht="18.95" customHeight="1" x14ac:dyDescent="0.2">
      <c r="A22" s="329">
        <v>2</v>
      </c>
      <c r="B22" s="328">
        <v>986459</v>
      </c>
      <c r="C22" s="326">
        <v>23503360</v>
      </c>
      <c r="D22" s="326">
        <v>22619385</v>
      </c>
      <c r="E22" s="326">
        <v>0</v>
      </c>
      <c r="F22" s="326">
        <v>563181</v>
      </c>
      <c r="G22" s="326">
        <v>1572989</v>
      </c>
      <c r="H22" s="326">
        <v>1331849</v>
      </c>
      <c r="I22" s="326">
        <v>0</v>
      </c>
      <c r="J22" s="325">
        <v>16541</v>
      </c>
      <c r="K22" s="324">
        <v>910399</v>
      </c>
      <c r="L22" s="324">
        <v>0</v>
      </c>
      <c r="M22" s="323">
        <f t="shared" si="2"/>
        <v>28884778</v>
      </c>
    </row>
    <row r="23" spans="1:14" ht="18.95" customHeight="1" x14ac:dyDescent="0.2">
      <c r="A23" s="329">
        <v>3</v>
      </c>
      <c r="B23" s="328">
        <v>1078038</v>
      </c>
      <c r="C23" s="326">
        <v>5144700</v>
      </c>
      <c r="D23" s="326">
        <v>3695658</v>
      </c>
      <c r="E23" s="326">
        <v>0</v>
      </c>
      <c r="F23" s="326">
        <v>563568</v>
      </c>
      <c r="G23" s="326">
        <v>1790850</v>
      </c>
      <c r="H23" s="326">
        <v>7962057</v>
      </c>
      <c r="I23" s="326">
        <v>0</v>
      </c>
      <c r="J23" s="325">
        <v>5</v>
      </c>
      <c r="K23" s="324">
        <v>353910</v>
      </c>
      <c r="L23" s="324">
        <v>0</v>
      </c>
      <c r="M23" s="323">
        <f t="shared" si="2"/>
        <v>16893128</v>
      </c>
    </row>
    <row r="24" spans="1:14" ht="18.95" customHeight="1" x14ac:dyDescent="0.2">
      <c r="A24" s="329">
        <v>4</v>
      </c>
      <c r="B24" s="328">
        <v>1676851</v>
      </c>
      <c r="C24" s="326">
        <v>3390676</v>
      </c>
      <c r="D24" s="326">
        <v>1247163</v>
      </c>
      <c r="E24" s="326">
        <v>0</v>
      </c>
      <c r="F24" s="326">
        <v>1710080</v>
      </c>
      <c r="G24" s="326">
        <v>1928327</v>
      </c>
      <c r="H24" s="326">
        <v>5850244</v>
      </c>
      <c r="I24" s="326">
        <v>0</v>
      </c>
      <c r="J24" s="325">
        <v>0</v>
      </c>
      <c r="K24" s="324">
        <v>87106</v>
      </c>
      <c r="L24" s="324">
        <v>0</v>
      </c>
      <c r="M24" s="323">
        <f t="shared" si="2"/>
        <v>14643284</v>
      </c>
    </row>
    <row r="25" spans="1:14" ht="18.95" customHeight="1" x14ac:dyDescent="0.2">
      <c r="A25" s="329">
        <v>5</v>
      </c>
      <c r="B25" s="328">
        <v>525269</v>
      </c>
      <c r="C25" s="326">
        <v>1253339</v>
      </c>
      <c r="D25" s="326">
        <v>689852</v>
      </c>
      <c r="E25" s="326">
        <v>0</v>
      </c>
      <c r="F25" s="326">
        <v>519345</v>
      </c>
      <c r="G25" s="326">
        <v>171326</v>
      </c>
      <c r="H25" s="326">
        <v>2579718</v>
      </c>
      <c r="I25" s="326">
        <v>0</v>
      </c>
      <c r="J25" s="325">
        <v>0</v>
      </c>
      <c r="K25" s="324">
        <v>3894</v>
      </c>
      <c r="L25" s="324">
        <v>0</v>
      </c>
      <c r="M25" s="323">
        <f t="shared" si="2"/>
        <v>5052891</v>
      </c>
    </row>
    <row r="26" spans="1:14" ht="18.95" customHeight="1" x14ac:dyDescent="0.2">
      <c r="A26" s="329">
        <v>6</v>
      </c>
      <c r="B26" s="328">
        <v>50144</v>
      </c>
      <c r="C26" s="326">
        <v>174278</v>
      </c>
      <c r="D26" s="326">
        <v>103723</v>
      </c>
      <c r="E26" s="326">
        <v>0</v>
      </c>
      <c r="F26" s="326">
        <v>18332</v>
      </c>
      <c r="G26" s="326">
        <v>143</v>
      </c>
      <c r="H26" s="326">
        <v>250948</v>
      </c>
      <c r="I26" s="326">
        <v>0</v>
      </c>
      <c r="J26" s="325">
        <v>0</v>
      </c>
      <c r="K26" s="324">
        <v>0</v>
      </c>
      <c r="L26" s="324">
        <v>0</v>
      </c>
      <c r="M26" s="323">
        <f t="shared" si="2"/>
        <v>493845</v>
      </c>
    </row>
    <row r="27" spans="1:14" ht="18.95" customHeight="1" x14ac:dyDescent="0.2">
      <c r="A27" s="329">
        <v>7</v>
      </c>
      <c r="B27" s="328">
        <v>141419</v>
      </c>
      <c r="C27" s="326">
        <v>432953</v>
      </c>
      <c r="D27" s="326">
        <v>301722</v>
      </c>
      <c r="E27" s="326">
        <v>0</v>
      </c>
      <c r="F27" s="326">
        <v>53115</v>
      </c>
      <c r="G27" s="326">
        <v>8126</v>
      </c>
      <c r="H27" s="326">
        <v>553882</v>
      </c>
      <c r="I27" s="326">
        <v>0</v>
      </c>
      <c r="J27" s="325">
        <v>0</v>
      </c>
      <c r="K27" s="324">
        <v>0</v>
      </c>
      <c r="L27" s="324">
        <v>0</v>
      </c>
      <c r="M27" s="323">
        <f t="shared" si="2"/>
        <v>1189495</v>
      </c>
    </row>
    <row r="28" spans="1:14" ht="18.95" customHeight="1" x14ac:dyDescent="0.2">
      <c r="A28" s="329">
        <v>8</v>
      </c>
      <c r="B28" s="328">
        <v>0</v>
      </c>
      <c r="C28" s="326">
        <v>0</v>
      </c>
      <c r="D28" s="326">
        <v>0</v>
      </c>
      <c r="E28" s="326">
        <v>0</v>
      </c>
      <c r="F28" s="326">
        <v>5</v>
      </c>
      <c r="G28" s="326">
        <v>0</v>
      </c>
      <c r="H28" s="326">
        <v>0</v>
      </c>
      <c r="I28" s="326">
        <v>1031029</v>
      </c>
      <c r="J28" s="325">
        <v>0</v>
      </c>
      <c r="K28" s="324">
        <v>0</v>
      </c>
      <c r="L28" s="324">
        <v>183355</v>
      </c>
      <c r="M28" s="323">
        <f t="shared" si="2"/>
        <v>1214389</v>
      </c>
    </row>
    <row r="29" spans="1:14" ht="18.95" customHeight="1" x14ac:dyDescent="0.2">
      <c r="A29" s="329" t="s">
        <v>184</v>
      </c>
      <c r="B29" s="328">
        <v>0</v>
      </c>
      <c r="C29" s="327">
        <v>0</v>
      </c>
      <c r="D29" s="326">
        <v>0</v>
      </c>
      <c r="E29" s="326">
        <v>0</v>
      </c>
      <c r="F29" s="326">
        <v>0</v>
      </c>
      <c r="G29" s="326">
        <v>0</v>
      </c>
      <c r="H29" s="326">
        <v>0</v>
      </c>
      <c r="I29" s="326">
        <v>0</v>
      </c>
      <c r="J29" s="325">
        <v>1382193</v>
      </c>
      <c r="K29" s="324">
        <v>0</v>
      </c>
      <c r="L29" s="324">
        <v>0</v>
      </c>
      <c r="M29" s="323">
        <f t="shared" si="2"/>
        <v>1382193</v>
      </c>
    </row>
    <row r="30" spans="1:14" ht="18.95" customHeight="1" thickBot="1" x14ac:dyDescent="0.25">
      <c r="A30" s="322" t="s">
        <v>183</v>
      </c>
      <c r="B30" s="321">
        <v>3733</v>
      </c>
      <c r="C30" s="320">
        <v>28243</v>
      </c>
      <c r="D30" s="320">
        <v>25152</v>
      </c>
      <c r="E30" s="320">
        <v>0</v>
      </c>
      <c r="F30" s="320">
        <v>0</v>
      </c>
      <c r="G30" s="320">
        <v>0</v>
      </c>
      <c r="H30" s="320">
        <v>0</v>
      </c>
      <c r="I30" s="320">
        <v>0</v>
      </c>
      <c r="J30" s="319">
        <v>0</v>
      </c>
      <c r="K30" s="318">
        <v>0</v>
      </c>
      <c r="L30" s="318">
        <v>0</v>
      </c>
      <c r="M30" s="317">
        <f t="shared" si="2"/>
        <v>31976</v>
      </c>
    </row>
    <row r="31" spans="1:14" ht="18.95" customHeight="1" thickBot="1" x14ac:dyDescent="0.25">
      <c r="A31" s="255" t="s">
        <v>39</v>
      </c>
      <c r="B31" s="316">
        <f t="shared" ref="B31:L31" si="3">SUM(B21:B30)</f>
        <v>4535651</v>
      </c>
      <c r="C31" s="315">
        <f t="shared" si="3"/>
        <v>37279764</v>
      </c>
      <c r="D31" s="315">
        <f t="shared" si="3"/>
        <v>31998861</v>
      </c>
      <c r="E31" s="315">
        <f t="shared" si="3"/>
        <v>0</v>
      </c>
      <c r="F31" s="315">
        <f t="shared" si="3"/>
        <v>3598833</v>
      </c>
      <c r="G31" s="315">
        <f t="shared" si="3"/>
        <v>5608498</v>
      </c>
      <c r="H31" s="315">
        <f t="shared" si="3"/>
        <v>19152742</v>
      </c>
      <c r="I31" s="315">
        <f t="shared" si="3"/>
        <v>1031029</v>
      </c>
      <c r="J31" s="314">
        <f t="shared" si="3"/>
        <v>1414596</v>
      </c>
      <c r="K31" s="313">
        <f t="shared" si="3"/>
        <v>1520728</v>
      </c>
      <c r="L31" s="313">
        <f t="shared" si="3"/>
        <v>183355</v>
      </c>
      <c r="M31" s="312">
        <f t="shared" si="2"/>
        <v>74325196</v>
      </c>
      <c r="N31" s="33"/>
    </row>
    <row r="32" spans="1:14" x14ac:dyDescent="0.2">
      <c r="M32" s="36">
        <f>M31-'Nota 22 Kredyty jakość'!D5</f>
        <v>0</v>
      </c>
    </row>
    <row r="33" spans="1:13" x14ac:dyDescent="0.2">
      <c r="B33" s="33"/>
    </row>
    <row r="35" spans="1:13" x14ac:dyDescent="0.2">
      <c r="A35" s="311" t="s">
        <v>182</v>
      </c>
    </row>
    <row r="38" spans="1:13" s="310" customFormat="1" x14ac:dyDescent="0.2"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">
      <c r="M39" s="36"/>
    </row>
    <row r="41" spans="1:13" x14ac:dyDescent="0.2">
      <c r="I41" s="309"/>
      <c r="J41" s="309"/>
      <c r="K41" s="309"/>
      <c r="L41" s="308"/>
    </row>
  </sheetData>
  <mergeCells count="27">
    <mergeCell ref="G3:H3"/>
    <mergeCell ref="M2:M4"/>
    <mergeCell ref="K18:K20"/>
    <mergeCell ref="G19:H19"/>
    <mergeCell ref="I19:I20"/>
    <mergeCell ref="J19:J20"/>
    <mergeCell ref="L18:L20"/>
    <mergeCell ref="M18:M20"/>
    <mergeCell ref="J3:J4"/>
    <mergeCell ref="K2:K4"/>
    <mergeCell ref="I3:I4"/>
    <mergeCell ref="A3:A4"/>
    <mergeCell ref="A19:A20"/>
    <mergeCell ref="E19:E20"/>
    <mergeCell ref="L2:L4"/>
    <mergeCell ref="A1:F1"/>
    <mergeCell ref="B18:D18"/>
    <mergeCell ref="B19:B20"/>
    <mergeCell ref="C19:C20"/>
    <mergeCell ref="F18:J18"/>
    <mergeCell ref="F19:F20"/>
    <mergeCell ref="F2:J2"/>
    <mergeCell ref="B3:B4"/>
    <mergeCell ref="B2:D2"/>
    <mergeCell ref="E3:E4"/>
    <mergeCell ref="C3:C4"/>
    <mergeCell ref="F3:F4"/>
  </mergeCells>
  <pageMargins left="0.75" right="0.75" top="1" bottom="1" header="0.5" footer="0.5"/>
  <pageSetup paperSize="9" scale="5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21"/>
  <sheetViews>
    <sheetView workbookViewId="0">
      <selection sqref="A1:H1"/>
    </sheetView>
  </sheetViews>
  <sheetFormatPr defaultRowHeight="10.5" x14ac:dyDescent="0.2"/>
  <cols>
    <col min="1" max="1" width="18" style="22" customWidth="1"/>
    <col min="2" max="4" width="13.7109375" style="22" customWidth="1"/>
    <col min="5" max="5" width="13.7109375" style="22" hidden="1" customWidth="1"/>
    <col min="6" max="13" width="13.7109375" style="22" customWidth="1"/>
    <col min="14" max="16384" width="9.140625" style="22"/>
  </cols>
  <sheetData>
    <row r="1" spans="1:13" ht="20.25" customHeight="1" x14ac:dyDescent="0.2">
      <c r="A1" s="953" t="s">
        <v>203</v>
      </c>
      <c r="B1" s="954"/>
      <c r="C1" s="954"/>
      <c r="D1" s="954"/>
      <c r="E1" s="954"/>
      <c r="F1" s="954"/>
      <c r="G1" s="968"/>
      <c r="H1" s="968"/>
    </row>
    <row r="3" spans="1:13" ht="18.95" customHeight="1" thickBot="1" x14ac:dyDescent="0.25">
      <c r="A3" s="339" t="s">
        <v>197</v>
      </c>
      <c r="B3" s="955" t="s">
        <v>194</v>
      </c>
      <c r="C3" s="956"/>
      <c r="D3" s="956"/>
      <c r="E3" s="338"/>
      <c r="F3" s="955" t="s">
        <v>193</v>
      </c>
      <c r="G3" s="956"/>
      <c r="H3" s="956"/>
      <c r="I3" s="956"/>
      <c r="J3" s="961"/>
      <c r="K3" s="951" t="s">
        <v>192</v>
      </c>
      <c r="L3" s="951" t="s">
        <v>23</v>
      </c>
      <c r="M3" s="964" t="s">
        <v>191</v>
      </c>
    </row>
    <row r="4" spans="1:13" ht="17.25" customHeight="1" x14ac:dyDescent="0.2">
      <c r="A4" s="947"/>
      <c r="B4" s="957" t="s">
        <v>167</v>
      </c>
      <c r="C4" s="959" t="s">
        <v>189</v>
      </c>
      <c r="D4" s="337" t="s">
        <v>190</v>
      </c>
      <c r="E4" s="949" t="s">
        <v>7</v>
      </c>
      <c r="F4" s="962" t="s">
        <v>167</v>
      </c>
      <c r="G4" s="959" t="s">
        <v>189</v>
      </c>
      <c r="H4" s="959"/>
      <c r="I4" s="959" t="s">
        <v>188</v>
      </c>
      <c r="J4" s="966" t="s">
        <v>7</v>
      </c>
      <c r="K4" s="952"/>
      <c r="L4" s="952"/>
      <c r="M4" s="965"/>
    </row>
    <row r="5" spans="1:13" ht="50.25" customHeight="1" x14ac:dyDescent="0.2">
      <c r="A5" s="973"/>
      <c r="B5" s="969"/>
      <c r="C5" s="970"/>
      <c r="D5" s="348" t="s">
        <v>187</v>
      </c>
      <c r="E5" s="972"/>
      <c r="F5" s="971"/>
      <c r="G5" s="348" t="s">
        <v>186</v>
      </c>
      <c r="H5" s="348" t="s">
        <v>185</v>
      </c>
      <c r="I5" s="970"/>
      <c r="J5" s="975"/>
      <c r="K5" s="976"/>
      <c r="L5" s="976"/>
      <c r="M5" s="974"/>
    </row>
    <row r="6" spans="1:13" ht="18.95" customHeight="1" x14ac:dyDescent="0.2">
      <c r="A6" s="347" t="s">
        <v>202</v>
      </c>
      <c r="B6" s="346">
        <v>415164</v>
      </c>
      <c r="C6" s="345">
        <v>1200637</v>
      </c>
      <c r="D6" s="345">
        <v>898517</v>
      </c>
      <c r="E6" s="345">
        <v>0</v>
      </c>
      <c r="F6" s="345">
        <v>21808</v>
      </c>
      <c r="G6" s="345">
        <v>47550</v>
      </c>
      <c r="H6" s="345">
        <v>525935</v>
      </c>
      <c r="I6" s="345">
        <v>0</v>
      </c>
      <c r="J6" s="344">
        <v>2002</v>
      </c>
      <c r="K6" s="343">
        <v>0</v>
      </c>
      <c r="L6" s="343">
        <v>0</v>
      </c>
      <c r="M6" s="342">
        <f>SUM(E6:K6,B6:C6,L6)</f>
        <v>2213096</v>
      </c>
    </row>
    <row r="7" spans="1:13" ht="18.95" customHeight="1" x14ac:dyDescent="0.2">
      <c r="A7" s="329" t="s">
        <v>201</v>
      </c>
      <c r="B7" s="328">
        <v>44472</v>
      </c>
      <c r="C7" s="326">
        <v>195280</v>
      </c>
      <c r="D7" s="326">
        <v>130215</v>
      </c>
      <c r="E7" s="326">
        <v>0</v>
      </c>
      <c r="F7" s="326">
        <v>3402</v>
      </c>
      <c r="G7" s="326">
        <v>1275</v>
      </c>
      <c r="H7" s="326">
        <v>40241</v>
      </c>
      <c r="I7" s="326">
        <v>0</v>
      </c>
      <c r="J7" s="325">
        <v>0</v>
      </c>
      <c r="K7" s="324">
        <v>912</v>
      </c>
      <c r="L7" s="324">
        <v>0</v>
      </c>
      <c r="M7" s="323">
        <f>SUM(E7:K7,B7:C7,L7)</f>
        <v>285582</v>
      </c>
    </row>
    <row r="8" spans="1:13" ht="18.95" customHeight="1" x14ac:dyDescent="0.2">
      <c r="A8" s="329" t="s">
        <v>200</v>
      </c>
      <c r="B8" s="328">
        <v>17977</v>
      </c>
      <c r="C8" s="327">
        <v>55989</v>
      </c>
      <c r="D8" s="326">
        <v>32020</v>
      </c>
      <c r="E8" s="326">
        <v>0</v>
      </c>
      <c r="F8" s="326">
        <v>587</v>
      </c>
      <c r="G8" s="326">
        <v>104</v>
      </c>
      <c r="H8" s="326">
        <v>24899</v>
      </c>
      <c r="I8" s="326">
        <v>0</v>
      </c>
      <c r="J8" s="325">
        <v>0</v>
      </c>
      <c r="K8" s="324">
        <v>0</v>
      </c>
      <c r="L8" s="324">
        <v>0</v>
      </c>
      <c r="M8" s="323">
        <f>SUM(E8:K8,B8:C8,L8)</f>
        <v>99556</v>
      </c>
    </row>
    <row r="9" spans="1:13" s="29" customFormat="1" ht="18.95" customHeight="1" thickBot="1" x14ac:dyDescent="0.25">
      <c r="A9" s="322" t="s">
        <v>199</v>
      </c>
      <c r="B9" s="321">
        <v>11963</v>
      </c>
      <c r="C9" s="320">
        <v>25109</v>
      </c>
      <c r="D9" s="320">
        <v>15072</v>
      </c>
      <c r="E9" s="320">
        <v>0</v>
      </c>
      <c r="F9" s="320">
        <v>151</v>
      </c>
      <c r="G9" s="320">
        <v>0</v>
      </c>
      <c r="H9" s="320">
        <v>2517</v>
      </c>
      <c r="I9" s="320">
        <v>0</v>
      </c>
      <c r="J9" s="319">
        <v>0</v>
      </c>
      <c r="K9" s="318">
        <v>0</v>
      </c>
      <c r="L9" s="318">
        <v>0</v>
      </c>
      <c r="M9" s="317">
        <f>SUM(E9:K9,B9:C9,L9)</f>
        <v>39740</v>
      </c>
    </row>
    <row r="10" spans="1:13" ht="18.95" customHeight="1" thickBot="1" x14ac:dyDescent="0.25">
      <c r="A10" s="255" t="s">
        <v>39</v>
      </c>
      <c r="B10" s="316">
        <f t="shared" ref="B10:K10" si="0">SUM(B6:B9)</f>
        <v>489576</v>
      </c>
      <c r="C10" s="315">
        <f t="shared" si="0"/>
        <v>1477015</v>
      </c>
      <c r="D10" s="315">
        <f t="shared" si="0"/>
        <v>1075824</v>
      </c>
      <c r="E10" s="315">
        <f t="shared" si="0"/>
        <v>0</v>
      </c>
      <c r="F10" s="315">
        <f t="shared" si="0"/>
        <v>25948</v>
      </c>
      <c r="G10" s="315">
        <f t="shared" si="0"/>
        <v>48929</v>
      </c>
      <c r="H10" s="315">
        <f t="shared" si="0"/>
        <v>593592</v>
      </c>
      <c r="I10" s="315">
        <f t="shared" si="0"/>
        <v>0</v>
      </c>
      <c r="J10" s="314">
        <f t="shared" si="0"/>
        <v>2002</v>
      </c>
      <c r="K10" s="313">
        <f t="shared" si="0"/>
        <v>912</v>
      </c>
      <c r="L10" s="313">
        <f>SUM(L6:L8)</f>
        <v>0</v>
      </c>
      <c r="M10" s="312">
        <f>SUM(E10:K10,B10:C10,L10)</f>
        <v>2637974</v>
      </c>
    </row>
    <row r="11" spans="1:13" x14ac:dyDescent="0.2">
      <c r="M11" s="341">
        <f>M10-'Nota 22 Kredyty jakość'!B6</f>
        <v>0</v>
      </c>
    </row>
    <row r="12" spans="1:13" x14ac:dyDescent="0.2">
      <c r="M12" s="279"/>
    </row>
    <row r="13" spans="1:13" ht="18.95" customHeight="1" thickBot="1" x14ac:dyDescent="0.25">
      <c r="A13" s="339" t="s">
        <v>195</v>
      </c>
      <c r="B13" s="955" t="s">
        <v>194</v>
      </c>
      <c r="C13" s="956"/>
      <c r="D13" s="956"/>
      <c r="E13" s="338"/>
      <c r="F13" s="955" t="s">
        <v>193</v>
      </c>
      <c r="G13" s="956"/>
      <c r="H13" s="956"/>
      <c r="I13" s="956"/>
      <c r="J13" s="961"/>
      <c r="K13" s="951" t="s">
        <v>192</v>
      </c>
      <c r="L13" s="951" t="s">
        <v>23</v>
      </c>
      <c r="M13" s="964" t="s">
        <v>191</v>
      </c>
    </row>
    <row r="14" spans="1:13" ht="17.25" customHeight="1" x14ac:dyDescent="0.2">
      <c r="A14" s="947"/>
      <c r="B14" s="957" t="s">
        <v>167</v>
      </c>
      <c r="C14" s="959" t="s">
        <v>189</v>
      </c>
      <c r="D14" s="337" t="s">
        <v>190</v>
      </c>
      <c r="E14" s="949" t="s">
        <v>7</v>
      </c>
      <c r="F14" s="962" t="s">
        <v>167</v>
      </c>
      <c r="G14" s="959" t="s">
        <v>189</v>
      </c>
      <c r="H14" s="959"/>
      <c r="I14" s="959" t="s">
        <v>188</v>
      </c>
      <c r="J14" s="966" t="s">
        <v>7</v>
      </c>
      <c r="K14" s="952"/>
      <c r="L14" s="952"/>
      <c r="M14" s="965"/>
    </row>
    <row r="15" spans="1:13" ht="50.25" customHeight="1" x14ac:dyDescent="0.2">
      <c r="A15" s="948"/>
      <c r="B15" s="958"/>
      <c r="C15" s="960"/>
      <c r="D15" s="336" t="s">
        <v>187</v>
      </c>
      <c r="E15" s="950"/>
      <c r="F15" s="963"/>
      <c r="G15" s="336" t="s">
        <v>186</v>
      </c>
      <c r="H15" s="336" t="s">
        <v>185</v>
      </c>
      <c r="I15" s="960"/>
      <c r="J15" s="967"/>
      <c r="K15" s="952"/>
      <c r="L15" s="952"/>
      <c r="M15" s="965"/>
    </row>
    <row r="16" spans="1:13" ht="18.95" customHeight="1" x14ac:dyDescent="0.2">
      <c r="A16" s="347" t="s">
        <v>202</v>
      </c>
      <c r="B16" s="346">
        <v>411472</v>
      </c>
      <c r="C16" s="345">
        <v>1151230</v>
      </c>
      <c r="D16" s="345">
        <v>911808</v>
      </c>
      <c r="E16" s="345">
        <v>0</v>
      </c>
      <c r="F16" s="345">
        <v>11989</v>
      </c>
      <c r="G16" s="345">
        <v>8405</v>
      </c>
      <c r="H16" s="345">
        <v>482428</v>
      </c>
      <c r="I16" s="345">
        <v>0</v>
      </c>
      <c r="J16" s="344">
        <v>0</v>
      </c>
      <c r="K16" s="343">
        <v>0</v>
      </c>
      <c r="L16" s="343">
        <v>0</v>
      </c>
      <c r="M16" s="342">
        <f>SUM(E16:K16,B16:C16)</f>
        <v>2065524</v>
      </c>
    </row>
    <row r="17" spans="1:13" ht="18.95" customHeight="1" x14ac:dyDescent="0.2">
      <c r="A17" s="329" t="s">
        <v>201</v>
      </c>
      <c r="B17" s="328">
        <v>30107</v>
      </c>
      <c r="C17" s="326">
        <v>159817</v>
      </c>
      <c r="D17" s="326">
        <v>109651</v>
      </c>
      <c r="E17" s="326">
        <v>0</v>
      </c>
      <c r="F17" s="326">
        <v>3058</v>
      </c>
      <c r="G17" s="326">
        <v>11850</v>
      </c>
      <c r="H17" s="326">
        <v>70581</v>
      </c>
      <c r="I17" s="326">
        <v>0</v>
      </c>
      <c r="J17" s="325">
        <v>0</v>
      </c>
      <c r="K17" s="324">
        <v>0</v>
      </c>
      <c r="L17" s="324">
        <v>0</v>
      </c>
      <c r="M17" s="323">
        <f>SUM(E17:K17,B17:C17)</f>
        <v>275413</v>
      </c>
    </row>
    <row r="18" spans="1:13" ht="18.95" customHeight="1" x14ac:dyDescent="0.2">
      <c r="A18" s="329" t="s">
        <v>200</v>
      </c>
      <c r="B18" s="328">
        <v>12780</v>
      </c>
      <c r="C18" s="327">
        <v>35116</v>
      </c>
      <c r="D18" s="326">
        <v>20866</v>
      </c>
      <c r="E18" s="326">
        <v>0</v>
      </c>
      <c r="F18" s="326">
        <v>845</v>
      </c>
      <c r="G18" s="326">
        <v>0</v>
      </c>
      <c r="H18" s="326">
        <v>24808</v>
      </c>
      <c r="I18" s="326">
        <v>0</v>
      </c>
      <c r="J18" s="325">
        <v>0</v>
      </c>
      <c r="K18" s="324">
        <v>0</v>
      </c>
      <c r="L18" s="324">
        <v>0</v>
      </c>
      <c r="M18" s="323">
        <f>SUM(E18:K18,B18:C18)</f>
        <v>73549</v>
      </c>
    </row>
    <row r="19" spans="1:13" s="29" customFormat="1" ht="18.95" customHeight="1" thickBot="1" x14ac:dyDescent="0.25">
      <c r="A19" s="322" t="s">
        <v>199</v>
      </c>
      <c r="B19" s="321">
        <v>8568</v>
      </c>
      <c r="C19" s="320">
        <v>13992</v>
      </c>
      <c r="D19" s="320">
        <v>7547</v>
      </c>
      <c r="E19" s="320">
        <v>0</v>
      </c>
      <c r="F19" s="320">
        <v>76</v>
      </c>
      <c r="G19" s="320">
        <v>0</v>
      </c>
      <c r="H19" s="320">
        <v>15620</v>
      </c>
      <c r="I19" s="320">
        <v>0</v>
      </c>
      <c r="J19" s="319">
        <v>0</v>
      </c>
      <c r="K19" s="318">
        <v>0</v>
      </c>
      <c r="L19" s="318">
        <v>0</v>
      </c>
      <c r="M19" s="317">
        <f>SUM(E19:K19,B19:C19)</f>
        <v>38256</v>
      </c>
    </row>
    <row r="20" spans="1:13" ht="18.95" customHeight="1" thickBot="1" x14ac:dyDescent="0.25">
      <c r="A20" s="255" t="s">
        <v>39</v>
      </c>
      <c r="B20" s="316">
        <f t="shared" ref="B20:L20" si="1">SUM(B16:B19)</f>
        <v>462927</v>
      </c>
      <c r="C20" s="315">
        <f t="shared" si="1"/>
        <v>1360155</v>
      </c>
      <c r="D20" s="315">
        <f t="shared" si="1"/>
        <v>1049872</v>
      </c>
      <c r="E20" s="315">
        <f t="shared" si="1"/>
        <v>0</v>
      </c>
      <c r="F20" s="315">
        <f t="shared" si="1"/>
        <v>15968</v>
      </c>
      <c r="G20" s="315">
        <f t="shared" si="1"/>
        <v>20255</v>
      </c>
      <c r="H20" s="315">
        <f t="shared" si="1"/>
        <v>593437</v>
      </c>
      <c r="I20" s="315">
        <f t="shared" si="1"/>
        <v>0</v>
      </c>
      <c r="J20" s="314">
        <f t="shared" si="1"/>
        <v>0</v>
      </c>
      <c r="K20" s="313">
        <f t="shared" si="1"/>
        <v>0</v>
      </c>
      <c r="L20" s="313">
        <f t="shared" si="1"/>
        <v>0</v>
      </c>
      <c r="M20" s="312">
        <f>SUM(E20:K20,B20:C20,L20)</f>
        <v>2452742</v>
      </c>
    </row>
    <row r="21" spans="1:13" x14ac:dyDescent="0.2">
      <c r="M21" s="341">
        <f>M20-'Nota 22 Kredyty jakość'!D6</f>
        <v>0</v>
      </c>
    </row>
  </sheetData>
  <mergeCells count="27">
    <mergeCell ref="M3:M5"/>
    <mergeCell ref="M13:M15"/>
    <mergeCell ref="J4:J5"/>
    <mergeCell ref="F3:J3"/>
    <mergeCell ref="K3:K5"/>
    <mergeCell ref="L13:L15"/>
    <mergeCell ref="L3:L5"/>
    <mergeCell ref="K13:K15"/>
    <mergeCell ref="I14:I15"/>
    <mergeCell ref="J14:J15"/>
    <mergeCell ref="A1:H1"/>
    <mergeCell ref="B13:D13"/>
    <mergeCell ref="F13:J13"/>
    <mergeCell ref="B3:D3"/>
    <mergeCell ref="B4:B5"/>
    <mergeCell ref="C4:C5"/>
    <mergeCell ref="F4:F5"/>
    <mergeCell ref="G4:H4"/>
    <mergeCell ref="E4:E5"/>
    <mergeCell ref="I4:I5"/>
    <mergeCell ref="A4:A5"/>
    <mergeCell ref="A14:A15"/>
    <mergeCell ref="B14:B15"/>
    <mergeCell ref="C14:C15"/>
    <mergeCell ref="F14:F15"/>
    <mergeCell ref="G14:H14"/>
    <mergeCell ref="E14:E15"/>
  </mergeCell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2:Q38"/>
  <sheetViews>
    <sheetView workbookViewId="0">
      <selection activeCell="I38" sqref="I38"/>
    </sheetView>
  </sheetViews>
  <sheetFormatPr defaultRowHeight="10.5" x14ac:dyDescent="0.2"/>
  <cols>
    <col min="1" max="1" width="18" style="22" customWidth="1"/>
    <col min="2" max="2" width="12.28515625" style="22" customWidth="1"/>
    <col min="3" max="3" width="12.42578125" style="22" customWidth="1"/>
    <col min="4" max="4" width="12.85546875" style="22" customWidth="1"/>
    <col min="5" max="5" width="12.140625" style="22" hidden="1" customWidth="1"/>
    <col min="6" max="6" width="12.5703125" style="22" customWidth="1"/>
    <col min="7" max="7" width="13.140625" style="22" customWidth="1"/>
    <col min="8" max="9" width="12.7109375" style="22" customWidth="1"/>
    <col min="10" max="10" width="12.42578125" style="22" customWidth="1"/>
    <col min="11" max="11" width="12.140625" style="22" customWidth="1"/>
    <col min="12" max="12" width="12.5703125" style="22" customWidth="1"/>
    <col min="13" max="13" width="13.7109375" style="22" customWidth="1"/>
    <col min="14" max="14" width="11.85546875" style="22" hidden="1" customWidth="1"/>
    <col min="15" max="16384" width="9.140625" style="22"/>
  </cols>
  <sheetData>
    <row r="2" spans="1:17" ht="14.25" customHeight="1" x14ac:dyDescent="0.2">
      <c r="A2" s="953" t="s">
        <v>208</v>
      </c>
      <c r="B2" s="954"/>
      <c r="C2" s="954"/>
      <c r="D2" s="954"/>
      <c r="E2" s="954"/>
      <c r="F2" s="954"/>
      <c r="G2" s="968"/>
      <c r="H2" s="968"/>
    </row>
    <row r="4" spans="1:17" ht="17.100000000000001" customHeight="1" thickBot="1" x14ac:dyDescent="0.25">
      <c r="A4" s="372"/>
      <c r="B4" s="955" t="s">
        <v>194</v>
      </c>
      <c r="C4" s="956"/>
      <c r="D4" s="956"/>
      <c r="E4" s="338"/>
      <c r="F4" s="955" t="s">
        <v>193</v>
      </c>
      <c r="G4" s="956"/>
      <c r="H4" s="956"/>
      <c r="I4" s="956"/>
      <c r="J4" s="961"/>
      <c r="K4" s="951" t="s">
        <v>192</v>
      </c>
      <c r="L4" s="951" t="s">
        <v>23</v>
      </c>
      <c r="M4" s="964" t="s">
        <v>191</v>
      </c>
      <c r="N4" s="978" t="s">
        <v>207</v>
      </c>
    </row>
    <row r="5" spans="1:17" ht="17.100000000000001" customHeight="1" x14ac:dyDescent="0.2">
      <c r="A5" s="982"/>
      <c r="B5" s="957" t="s">
        <v>167</v>
      </c>
      <c r="C5" s="959" t="s">
        <v>189</v>
      </c>
      <c r="D5" s="337" t="s">
        <v>190</v>
      </c>
      <c r="E5" s="949" t="s">
        <v>7</v>
      </c>
      <c r="F5" s="962" t="s">
        <v>167</v>
      </c>
      <c r="G5" s="959" t="s">
        <v>189</v>
      </c>
      <c r="H5" s="959"/>
      <c r="I5" s="959" t="s">
        <v>188</v>
      </c>
      <c r="J5" s="966" t="s">
        <v>7</v>
      </c>
      <c r="K5" s="952"/>
      <c r="L5" s="952"/>
      <c r="M5" s="965"/>
      <c r="N5" s="979"/>
    </row>
    <row r="6" spans="1:17" ht="45" customHeight="1" x14ac:dyDescent="0.2">
      <c r="A6" s="947"/>
      <c r="B6" s="969"/>
      <c r="C6" s="970"/>
      <c r="D6" s="348" t="s">
        <v>187</v>
      </c>
      <c r="E6" s="972"/>
      <c r="F6" s="971"/>
      <c r="G6" s="348" t="s">
        <v>186</v>
      </c>
      <c r="H6" s="348" t="s">
        <v>185</v>
      </c>
      <c r="I6" s="970"/>
      <c r="J6" s="975"/>
      <c r="K6" s="976"/>
      <c r="L6" s="976"/>
      <c r="M6" s="974"/>
      <c r="N6" s="980"/>
    </row>
    <row r="7" spans="1:17" ht="17.100000000000001" customHeight="1" thickBot="1" x14ac:dyDescent="0.25">
      <c r="A7" s="981" t="s">
        <v>197</v>
      </c>
      <c r="B7" s="981"/>
      <c r="C7" s="981"/>
      <c r="D7" s="981"/>
      <c r="E7" s="981"/>
      <c r="F7" s="981"/>
      <c r="G7" s="981"/>
      <c r="H7" s="981"/>
      <c r="I7" s="981"/>
      <c r="J7" s="370"/>
      <c r="K7" s="370"/>
      <c r="L7" s="370"/>
      <c r="M7" s="371"/>
      <c r="N7" s="370"/>
    </row>
    <row r="8" spans="1:17" ht="30.75" customHeight="1" x14ac:dyDescent="0.2">
      <c r="A8" s="368" t="s">
        <v>206</v>
      </c>
      <c r="B8" s="367">
        <v>812000</v>
      </c>
      <c r="C8" s="366">
        <v>1743064</v>
      </c>
      <c r="D8" s="366">
        <v>1144928</v>
      </c>
      <c r="E8" s="366">
        <v>0</v>
      </c>
      <c r="F8" s="366">
        <v>332633</v>
      </c>
      <c r="G8" s="366">
        <v>94160</v>
      </c>
      <c r="H8" s="366">
        <v>1487711</v>
      </c>
      <c r="I8" s="366">
        <v>0</v>
      </c>
      <c r="J8" s="365">
        <v>67590</v>
      </c>
      <c r="K8" s="364">
        <v>0</v>
      </c>
      <c r="L8" s="363">
        <v>0</v>
      </c>
      <c r="M8" s="362">
        <f>SUM(E8:L8,B8:C8)</f>
        <v>4537158</v>
      </c>
      <c r="N8" s="361">
        <v>30484</v>
      </c>
      <c r="O8" s="36"/>
      <c r="P8" s="36"/>
    </row>
    <row r="9" spans="1:17" ht="35.1" customHeight="1" thickBot="1" x14ac:dyDescent="0.25">
      <c r="A9" s="360" t="s">
        <v>205</v>
      </c>
      <c r="B9" s="359">
        <v>-562478</v>
      </c>
      <c r="C9" s="358">
        <v>-808180</v>
      </c>
      <c r="D9" s="358">
        <v>-476237</v>
      </c>
      <c r="E9" s="358">
        <v>0</v>
      </c>
      <c r="F9" s="358">
        <v>-178169</v>
      </c>
      <c r="G9" s="358">
        <v>-26537</v>
      </c>
      <c r="H9" s="358">
        <v>-962707</v>
      </c>
      <c r="I9" s="358">
        <v>0</v>
      </c>
      <c r="J9" s="357">
        <v>-52994</v>
      </c>
      <c r="K9" s="356">
        <v>0</v>
      </c>
      <c r="L9" s="355">
        <v>0</v>
      </c>
      <c r="M9" s="354">
        <f>SUM(E9:L9,B9:C9)</f>
        <v>-2591065</v>
      </c>
      <c r="N9" s="353">
        <v>-1525</v>
      </c>
      <c r="O9" s="36"/>
      <c r="P9" s="36"/>
      <c r="Q9" s="33"/>
    </row>
    <row r="10" spans="1:17" ht="17.100000000000001" customHeight="1" thickBot="1" x14ac:dyDescent="0.25">
      <c r="A10" s="977" t="s">
        <v>195</v>
      </c>
      <c r="B10" s="977"/>
      <c r="C10" s="977"/>
      <c r="D10" s="977"/>
      <c r="E10" s="977"/>
      <c r="F10" s="977"/>
      <c r="G10" s="977"/>
      <c r="H10" s="977"/>
      <c r="I10" s="977"/>
      <c r="J10" s="369"/>
      <c r="K10" s="369"/>
      <c r="L10" s="369"/>
      <c r="M10" s="369"/>
      <c r="N10" s="369"/>
      <c r="O10" s="310"/>
    </row>
    <row r="11" spans="1:17" ht="30.75" customHeight="1" x14ac:dyDescent="0.2">
      <c r="A11" s="368" t="s">
        <v>206</v>
      </c>
      <c r="B11" s="367">
        <v>898551</v>
      </c>
      <c r="C11" s="366">
        <v>1721635</v>
      </c>
      <c r="D11" s="366">
        <v>1135475</v>
      </c>
      <c r="E11" s="366">
        <v>0</v>
      </c>
      <c r="F11" s="366">
        <v>361386</v>
      </c>
      <c r="G11" s="366">
        <v>196565</v>
      </c>
      <c r="H11" s="366">
        <v>1404925</v>
      </c>
      <c r="I11" s="366">
        <v>0</v>
      </c>
      <c r="J11" s="365">
        <v>48410</v>
      </c>
      <c r="K11" s="364">
        <v>0</v>
      </c>
      <c r="L11" s="363">
        <v>0</v>
      </c>
      <c r="M11" s="362">
        <f>SUM(E11:L11,B11:C11)</f>
        <v>4631472</v>
      </c>
      <c r="N11" s="361">
        <v>0</v>
      </c>
      <c r="O11" s="36"/>
      <c r="P11" s="36"/>
    </row>
    <row r="12" spans="1:17" ht="35.1" customHeight="1" thickBot="1" x14ac:dyDescent="0.25">
      <c r="A12" s="360" t="s">
        <v>205</v>
      </c>
      <c r="B12" s="359">
        <v>-636432</v>
      </c>
      <c r="C12" s="358">
        <v>-754742</v>
      </c>
      <c r="D12" s="358">
        <v>-441167</v>
      </c>
      <c r="E12" s="358">
        <v>0</v>
      </c>
      <c r="F12" s="358">
        <v>-309077</v>
      </c>
      <c r="G12" s="358">
        <v>-146815</v>
      </c>
      <c r="H12" s="358">
        <v>-833190</v>
      </c>
      <c r="I12" s="358">
        <v>0</v>
      </c>
      <c r="J12" s="357">
        <v>-48410</v>
      </c>
      <c r="K12" s="356">
        <v>0</v>
      </c>
      <c r="L12" s="355">
        <v>0</v>
      </c>
      <c r="M12" s="354">
        <f>SUM(E12:L12,B12:C12)</f>
        <v>-2728666</v>
      </c>
      <c r="N12" s="353">
        <v>0</v>
      </c>
      <c r="O12" s="36"/>
      <c r="P12" s="36"/>
      <c r="Q12" s="33"/>
    </row>
    <row r="13" spans="1:17" x14ac:dyDescent="0.2">
      <c r="N13" s="352"/>
    </row>
    <row r="14" spans="1:17" x14ac:dyDescent="0.2">
      <c r="N14" s="351"/>
    </row>
    <row r="15" spans="1:17" x14ac:dyDescent="0.2">
      <c r="N15" s="351"/>
    </row>
    <row r="16" spans="1:17" x14ac:dyDescent="0.2">
      <c r="N16" s="349"/>
    </row>
    <row r="17" spans="7:14" x14ac:dyDescent="0.2">
      <c r="N17" s="349"/>
    </row>
    <row r="18" spans="7:14" x14ac:dyDescent="0.2">
      <c r="N18" s="349"/>
    </row>
    <row r="19" spans="7:14" x14ac:dyDescent="0.2">
      <c r="N19" s="350"/>
    </row>
    <row r="20" spans="7:14" x14ac:dyDescent="0.2">
      <c r="N20" s="349"/>
    </row>
    <row r="21" spans="7:14" x14ac:dyDescent="0.2">
      <c r="N21" s="279"/>
    </row>
    <row r="22" spans="7:14" x14ac:dyDescent="0.2">
      <c r="G22" s="22" t="s">
        <v>204</v>
      </c>
      <c r="N22" s="279"/>
    </row>
    <row r="23" spans="7:14" x14ac:dyDescent="0.2">
      <c r="N23" s="279"/>
    </row>
    <row r="24" spans="7:14" x14ac:dyDescent="0.2">
      <c r="N24" s="279"/>
    </row>
    <row r="25" spans="7:14" x14ac:dyDescent="0.2">
      <c r="N25" s="279"/>
    </row>
    <row r="26" spans="7:14" x14ac:dyDescent="0.2">
      <c r="N26" s="279"/>
    </row>
    <row r="27" spans="7:14" x14ac:dyDescent="0.2">
      <c r="N27" s="279"/>
    </row>
    <row r="28" spans="7:14" x14ac:dyDescent="0.2">
      <c r="N28" s="279"/>
    </row>
    <row r="29" spans="7:14" x14ac:dyDescent="0.2">
      <c r="N29" s="279"/>
    </row>
    <row r="30" spans="7:14" x14ac:dyDescent="0.2">
      <c r="N30" s="279"/>
    </row>
    <row r="31" spans="7:14" x14ac:dyDescent="0.2">
      <c r="N31" s="279"/>
    </row>
    <row r="32" spans="7:14" x14ac:dyDescent="0.2">
      <c r="N32" s="279"/>
    </row>
    <row r="33" spans="14:14" x14ac:dyDescent="0.2">
      <c r="N33" s="279"/>
    </row>
    <row r="34" spans="14:14" x14ac:dyDescent="0.2">
      <c r="N34" s="279"/>
    </row>
    <row r="35" spans="14:14" x14ac:dyDescent="0.2">
      <c r="N35" s="279"/>
    </row>
    <row r="36" spans="14:14" x14ac:dyDescent="0.2">
      <c r="N36" s="279"/>
    </row>
    <row r="37" spans="14:14" x14ac:dyDescent="0.2">
      <c r="N37" s="279"/>
    </row>
    <row r="38" spans="14:14" x14ac:dyDescent="0.2">
      <c r="N38" s="279"/>
    </row>
  </sheetData>
  <mergeCells count="17">
    <mergeCell ref="A10:I10"/>
    <mergeCell ref="N4:N6"/>
    <mergeCell ref="J5:J6"/>
    <mergeCell ref="K4:K6"/>
    <mergeCell ref="L4:L6"/>
    <mergeCell ref="M4:M6"/>
    <mergeCell ref="B5:B6"/>
    <mergeCell ref="E5:E6"/>
    <mergeCell ref="A7:I7"/>
    <mergeCell ref="A5:A6"/>
    <mergeCell ref="A2:H2"/>
    <mergeCell ref="B4:D4"/>
    <mergeCell ref="F4:J4"/>
    <mergeCell ref="F5:F6"/>
    <mergeCell ref="G5:H5"/>
    <mergeCell ref="I5:I6"/>
    <mergeCell ref="C5:C6"/>
  </mergeCells>
  <pageMargins left="0.75" right="0.75" top="1" bottom="1" header="0.5" footer="0.5"/>
  <pageSetup paperSize="9" scale="7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2:H52"/>
  <sheetViews>
    <sheetView workbookViewId="0">
      <selection activeCell="H31" sqref="H31"/>
    </sheetView>
  </sheetViews>
  <sheetFormatPr defaultRowHeight="10.5" x14ac:dyDescent="0.2"/>
  <cols>
    <col min="1" max="1" width="63.5703125" style="373" customWidth="1"/>
    <col min="2" max="5" width="15.7109375" style="373" customWidth="1"/>
    <col min="6" max="16384" width="9.140625" style="373"/>
  </cols>
  <sheetData>
    <row r="2" spans="1:7" ht="12.75" x14ac:dyDescent="0.2">
      <c r="A2" s="924" t="s">
        <v>230</v>
      </c>
    </row>
    <row r="3" spans="1:7" x14ac:dyDescent="0.2">
      <c r="A3" s="406"/>
    </row>
    <row r="4" spans="1:7" ht="45" customHeight="1" x14ac:dyDescent="0.2">
      <c r="A4" s="405" t="s">
        <v>229</v>
      </c>
      <c r="B4" s="277" t="s">
        <v>227</v>
      </c>
      <c r="C4" s="277" t="s">
        <v>226</v>
      </c>
      <c r="D4" s="277" t="s">
        <v>225</v>
      </c>
      <c r="E4" s="404" t="s">
        <v>224</v>
      </c>
      <c r="F4" s="379"/>
      <c r="G4" s="379"/>
    </row>
    <row r="5" spans="1:7" ht="17.100000000000001" customHeight="1" thickBot="1" x14ac:dyDescent="0.25">
      <c r="A5" s="403" t="s">
        <v>223</v>
      </c>
      <c r="B5" s="393"/>
      <c r="C5" s="393"/>
      <c r="D5" s="393"/>
      <c r="E5" s="393"/>
      <c r="F5" s="379"/>
      <c r="G5" s="379"/>
    </row>
    <row r="6" spans="1:7" ht="17.100000000000001" customHeight="1" thickBot="1" x14ac:dyDescent="0.25">
      <c r="A6" s="384" t="s">
        <v>38</v>
      </c>
      <c r="B6" s="383">
        <f>'Nota 18 Naleźności od banków'!C10</f>
        <v>3085112</v>
      </c>
      <c r="C6" s="383">
        <f>'Nota 18 Naleźności od banków'!C11</f>
        <v>-2257</v>
      </c>
      <c r="D6" s="383">
        <v>-2257</v>
      </c>
      <c r="E6" s="382">
        <f>C6-D6</f>
        <v>0</v>
      </c>
      <c r="F6" s="379"/>
      <c r="G6" s="379"/>
    </row>
    <row r="7" spans="1:7" ht="17.100000000000001" customHeight="1" thickBot="1" x14ac:dyDescent="0.25">
      <c r="A7" s="384" t="s">
        <v>222</v>
      </c>
      <c r="B7" s="383">
        <f>'Nota 22 Kredyty'!C17</f>
        <v>84580772</v>
      </c>
      <c r="C7" s="383">
        <f>'Nota 22 Kredyty'!C18</f>
        <v>-2817495</v>
      </c>
      <c r="D7" s="383">
        <f>D8+D12+D17-53994</f>
        <v>-3863367</v>
      </c>
      <c r="E7" s="382">
        <f>E8+E12+E17</f>
        <v>1045872</v>
      </c>
      <c r="F7" s="379"/>
      <c r="G7" s="379"/>
    </row>
    <row r="8" spans="1:7" ht="17.100000000000001" customHeight="1" x14ac:dyDescent="0.2">
      <c r="A8" s="402" t="s">
        <v>221</v>
      </c>
      <c r="B8" s="401">
        <f>SUM(B9:B10)</f>
        <v>48949829</v>
      </c>
      <c r="C8" s="401">
        <f>SUM(C9:C10)</f>
        <v>-1515339</v>
      </c>
      <c r="D8" s="401">
        <f>SUM(D9:D10)</f>
        <v>-1797447</v>
      </c>
      <c r="E8" s="400">
        <f t="shared" ref="E8:E17" si="0">C8-D8</f>
        <v>282108</v>
      </c>
      <c r="F8" s="379"/>
      <c r="G8" s="379"/>
    </row>
    <row r="9" spans="1:7" ht="17.100000000000001" customHeight="1" x14ac:dyDescent="0.2">
      <c r="A9" s="398" t="s">
        <v>217</v>
      </c>
      <c r="B9" s="397">
        <f>'Nota 22 Kredyty'!C4</f>
        <v>6458369</v>
      </c>
      <c r="C9" s="397">
        <f>'Nota 22 Rezerwy'!H5</f>
        <v>-614379</v>
      </c>
      <c r="D9" s="397">
        <v>-629109</v>
      </c>
      <c r="E9" s="396">
        <f t="shared" si="0"/>
        <v>14730</v>
      </c>
      <c r="F9" s="379"/>
      <c r="G9" s="379"/>
    </row>
    <row r="10" spans="1:7" ht="17.100000000000001" customHeight="1" x14ac:dyDescent="0.2">
      <c r="A10" s="398" t="s">
        <v>220</v>
      </c>
      <c r="B10" s="397">
        <f>'Nota 22 Kredyty'!C5</f>
        <v>42491460</v>
      </c>
      <c r="C10" s="397">
        <f>'Nota 22 Rezerwy'!H6</f>
        <v>-900960</v>
      </c>
      <c r="D10" s="397">
        <v>-1168338</v>
      </c>
      <c r="E10" s="396">
        <f t="shared" si="0"/>
        <v>267378</v>
      </c>
      <c r="F10" s="379"/>
      <c r="G10" s="379"/>
    </row>
    <row r="11" spans="1:7" ht="17.100000000000001" customHeight="1" x14ac:dyDescent="0.2">
      <c r="A11" s="398" t="s">
        <v>219</v>
      </c>
      <c r="B11" s="397">
        <f>'Nota 22 Kredyty'!C6</f>
        <v>35369113</v>
      </c>
      <c r="C11" s="397">
        <f>'Nota 22 Rezerwy'!H7</f>
        <v>-515928</v>
      </c>
      <c r="D11" s="397">
        <v>-750295</v>
      </c>
      <c r="E11" s="396">
        <f t="shared" si="0"/>
        <v>234367</v>
      </c>
      <c r="F11" s="379"/>
      <c r="G11" s="379"/>
    </row>
    <row r="12" spans="1:7" ht="17.100000000000001" customHeight="1" x14ac:dyDescent="0.2">
      <c r="A12" s="399" t="s">
        <v>218</v>
      </c>
      <c r="B12" s="397">
        <f>SUM(B13:B14)</f>
        <v>32393302</v>
      </c>
      <c r="C12" s="397">
        <f>SUM(C13:C14)</f>
        <v>-1247413</v>
      </c>
      <c r="D12" s="397">
        <f>SUM(D13:D14)</f>
        <v>-2011135</v>
      </c>
      <c r="E12" s="396">
        <f t="shared" si="0"/>
        <v>763722</v>
      </c>
      <c r="F12" s="379"/>
      <c r="G12" s="379"/>
    </row>
    <row r="13" spans="1:7" ht="17.100000000000001" customHeight="1" x14ac:dyDescent="0.2">
      <c r="A13" s="398" t="s">
        <v>217</v>
      </c>
      <c r="B13" s="397">
        <f>'Nota 22 Kredyty'!C9</f>
        <v>4125405</v>
      </c>
      <c r="C13" s="397">
        <f>'Nota 22 Rezerwy'!H10</f>
        <v>-190490</v>
      </c>
      <c r="D13" s="397">
        <v>-208214</v>
      </c>
      <c r="E13" s="396">
        <f t="shared" si="0"/>
        <v>17724</v>
      </c>
      <c r="F13" s="379"/>
      <c r="G13" s="379"/>
    </row>
    <row r="14" spans="1:7" ht="17.100000000000001" customHeight="1" x14ac:dyDescent="0.2">
      <c r="A14" s="398" t="s">
        <v>216</v>
      </c>
      <c r="B14" s="397">
        <f>SUM(B15:B16)</f>
        <v>28267897</v>
      </c>
      <c r="C14" s="397">
        <f>SUM(C15:C16)</f>
        <v>-1056923</v>
      </c>
      <c r="D14" s="397">
        <f>SUM(D15:D16)</f>
        <v>-1802921</v>
      </c>
      <c r="E14" s="396">
        <f t="shared" si="0"/>
        <v>745998</v>
      </c>
      <c r="F14" s="379"/>
      <c r="G14" s="379"/>
    </row>
    <row r="15" spans="1:7" ht="17.100000000000001" customHeight="1" x14ac:dyDescent="0.2">
      <c r="A15" s="398" t="s">
        <v>215</v>
      </c>
      <c r="B15" s="397">
        <f>'Nota 22 Kredyty'!C11</f>
        <v>5037182</v>
      </c>
      <c r="C15" s="397">
        <f>'Nota 22 Rezerwy'!H12</f>
        <v>-28788</v>
      </c>
      <c r="D15" s="397">
        <v>-104970</v>
      </c>
      <c r="E15" s="396">
        <f t="shared" si="0"/>
        <v>76182</v>
      </c>
      <c r="F15" s="379"/>
      <c r="G15" s="379"/>
    </row>
    <row r="16" spans="1:7" ht="17.100000000000001" customHeight="1" x14ac:dyDescent="0.2">
      <c r="A16" s="398" t="s">
        <v>214</v>
      </c>
      <c r="B16" s="397">
        <f>'Nota 22 Kredyty'!C12</f>
        <v>23230715</v>
      </c>
      <c r="C16" s="397">
        <f>'Nota 22 Rezerwy'!H13</f>
        <v>-1028135</v>
      </c>
      <c r="D16" s="397">
        <v>-1697951</v>
      </c>
      <c r="E16" s="396">
        <f t="shared" si="0"/>
        <v>669816</v>
      </c>
      <c r="F16" s="379"/>
      <c r="G16" s="379"/>
    </row>
    <row r="17" spans="1:7" ht="17.100000000000001" customHeight="1" thickBot="1" x14ac:dyDescent="0.25">
      <c r="A17" s="395" t="s">
        <v>192</v>
      </c>
      <c r="B17" s="386">
        <f>'Nota 22 Kredyty'!C15</f>
        <v>1228230</v>
      </c>
      <c r="C17" s="386">
        <f>'Nota 22 Rezerwy'!H16</f>
        <v>-749</v>
      </c>
      <c r="D17" s="386">
        <v>-791</v>
      </c>
      <c r="E17" s="394">
        <f t="shared" si="0"/>
        <v>42</v>
      </c>
      <c r="F17" s="379"/>
      <c r="G17" s="379"/>
    </row>
    <row r="18" spans="1:7" ht="17.100000000000001" customHeight="1" thickBot="1" x14ac:dyDescent="0.25">
      <c r="A18" s="384" t="s">
        <v>213</v>
      </c>
      <c r="B18" s="383">
        <f>SUM(B6:B7)</f>
        <v>87665884</v>
      </c>
      <c r="C18" s="383">
        <f>SUM(C6:C7)</f>
        <v>-2819752</v>
      </c>
      <c r="D18" s="383">
        <f>SUM(D6:D7)</f>
        <v>-3865624</v>
      </c>
      <c r="E18" s="382">
        <f>SUM(E6:E7)</f>
        <v>1045872</v>
      </c>
      <c r="F18" s="379"/>
      <c r="G18" s="379"/>
    </row>
    <row r="19" spans="1:7" ht="17.100000000000001" customHeight="1" thickBot="1" x14ac:dyDescent="0.25">
      <c r="A19" s="393" t="s">
        <v>212</v>
      </c>
      <c r="B19" s="392"/>
      <c r="C19" s="392"/>
      <c r="D19" s="391"/>
      <c r="E19" s="391"/>
      <c r="F19" s="379"/>
      <c r="G19" s="379"/>
    </row>
    <row r="20" spans="1:7" ht="24.95" customHeight="1" x14ac:dyDescent="0.2">
      <c r="A20" s="390" t="s">
        <v>211</v>
      </c>
      <c r="B20" s="389">
        <v>22692191</v>
      </c>
      <c r="C20" s="389">
        <v>-30847</v>
      </c>
      <c r="D20" s="389">
        <v>-38643</v>
      </c>
      <c r="E20" s="388">
        <f>C20-D20</f>
        <v>7796</v>
      </c>
      <c r="F20" s="379"/>
      <c r="G20" s="379"/>
    </row>
    <row r="21" spans="1:7" ht="17.100000000000001" customHeight="1" thickBot="1" x14ac:dyDescent="0.25">
      <c r="A21" s="387" t="s">
        <v>210</v>
      </c>
      <c r="B21" s="386">
        <v>5881446</v>
      </c>
      <c r="C21" s="386">
        <v>-12588</v>
      </c>
      <c r="D21" s="386">
        <v>-17601</v>
      </c>
      <c r="E21" s="385">
        <f>C21-D21</f>
        <v>5013</v>
      </c>
      <c r="F21" s="379"/>
      <c r="G21" s="379"/>
    </row>
    <row r="22" spans="1:7" ht="17.100000000000001" customHeight="1" thickBot="1" x14ac:dyDescent="0.25">
      <c r="A22" s="384" t="s">
        <v>209</v>
      </c>
      <c r="B22" s="383">
        <f>SUM(B20:B21)</f>
        <v>28573637</v>
      </c>
      <c r="C22" s="383">
        <f>SUM(C20:C21)</f>
        <v>-43435</v>
      </c>
      <c r="D22" s="383">
        <f>SUM(D20:D21)</f>
        <v>-56244</v>
      </c>
      <c r="E22" s="382">
        <f>SUM(E20:E21)</f>
        <v>12809</v>
      </c>
      <c r="F22" s="379"/>
      <c r="G22" s="379"/>
    </row>
    <row r="23" spans="1:7" x14ac:dyDescent="0.2">
      <c r="A23" s="406"/>
    </row>
    <row r="24" spans="1:7" x14ac:dyDescent="0.2">
      <c r="A24" s="406"/>
    </row>
    <row r="25" spans="1:7" x14ac:dyDescent="0.2">
      <c r="A25" s="406"/>
    </row>
    <row r="26" spans="1:7" x14ac:dyDescent="0.2">
      <c r="F26" s="379"/>
      <c r="G26" s="379"/>
    </row>
    <row r="27" spans="1:7" ht="45" customHeight="1" x14ac:dyDescent="0.2">
      <c r="A27" s="405" t="s">
        <v>228</v>
      </c>
      <c r="B27" s="277" t="s">
        <v>227</v>
      </c>
      <c r="C27" s="277" t="s">
        <v>226</v>
      </c>
      <c r="D27" s="277" t="s">
        <v>225</v>
      </c>
      <c r="E27" s="404" t="s">
        <v>224</v>
      </c>
      <c r="F27" s="379"/>
      <c r="G27" s="379"/>
    </row>
    <row r="28" spans="1:7" ht="17.100000000000001" customHeight="1" thickBot="1" x14ac:dyDescent="0.25">
      <c r="A28" s="403" t="s">
        <v>223</v>
      </c>
      <c r="B28" s="393"/>
      <c r="C28" s="393"/>
      <c r="D28" s="393"/>
      <c r="E28" s="393"/>
      <c r="F28" s="379"/>
      <c r="G28" s="379"/>
    </row>
    <row r="29" spans="1:7" ht="17.100000000000001" customHeight="1" thickBot="1" x14ac:dyDescent="0.25">
      <c r="A29" s="384" t="s">
        <v>38</v>
      </c>
      <c r="B29" s="383">
        <v>1899033</v>
      </c>
      <c r="C29" s="383">
        <v>-1699</v>
      </c>
      <c r="D29" s="383">
        <v>-1716</v>
      </c>
      <c r="E29" s="382">
        <f>C29-D29</f>
        <v>17</v>
      </c>
      <c r="F29" s="379"/>
      <c r="G29" s="379"/>
    </row>
    <row r="30" spans="1:7" ht="17.100000000000001" customHeight="1" thickBot="1" x14ac:dyDescent="0.25">
      <c r="A30" s="384" t="s">
        <v>222</v>
      </c>
      <c r="B30" s="383">
        <v>81409410</v>
      </c>
      <c r="C30" s="383">
        <v>-2975864</v>
      </c>
      <c r="D30" s="383">
        <v>-4027369</v>
      </c>
      <c r="E30" s="382">
        <v>1051505</v>
      </c>
      <c r="F30" s="379"/>
      <c r="G30" s="379"/>
    </row>
    <row r="31" spans="1:7" ht="17.100000000000001" customHeight="1" x14ac:dyDescent="0.2">
      <c r="A31" s="402" t="s">
        <v>221</v>
      </c>
      <c r="B31" s="401">
        <f>SUM(B32:B33)</f>
        <v>46258683</v>
      </c>
      <c r="C31" s="401">
        <f>SUM(C32:C33)</f>
        <v>-1532502</v>
      </c>
      <c r="D31" s="401">
        <f>SUM(D32:D33)</f>
        <v>-1877982</v>
      </c>
      <c r="E31" s="400">
        <f t="shared" ref="E31:E40" si="1">C31-D31</f>
        <v>345480</v>
      </c>
      <c r="F31" s="379"/>
      <c r="G31" s="379"/>
    </row>
    <row r="32" spans="1:7" ht="17.100000000000001" customHeight="1" x14ac:dyDescent="0.2">
      <c r="A32" s="398" t="s">
        <v>217</v>
      </c>
      <c r="B32" s="397">
        <v>5897129</v>
      </c>
      <c r="C32" s="397">
        <v>-683042</v>
      </c>
      <c r="D32" s="397">
        <v>-703700</v>
      </c>
      <c r="E32" s="396">
        <f t="shared" si="1"/>
        <v>20658</v>
      </c>
      <c r="F32" s="379"/>
      <c r="G32" s="379"/>
    </row>
    <row r="33" spans="1:8" ht="17.100000000000001" customHeight="1" x14ac:dyDescent="0.2">
      <c r="A33" s="398" t="s">
        <v>220</v>
      </c>
      <c r="B33" s="397">
        <v>40361554</v>
      </c>
      <c r="C33" s="397">
        <v>-849460</v>
      </c>
      <c r="D33" s="397">
        <v>-1174282</v>
      </c>
      <c r="E33" s="396">
        <f t="shared" si="1"/>
        <v>324822</v>
      </c>
      <c r="F33" s="379"/>
      <c r="G33" s="379"/>
    </row>
    <row r="34" spans="1:8" ht="17.100000000000001" customHeight="1" x14ac:dyDescent="0.2">
      <c r="A34" s="398" t="s">
        <v>219</v>
      </c>
      <c r="B34" s="397">
        <v>34184208</v>
      </c>
      <c r="C34" s="397">
        <v>-491329</v>
      </c>
      <c r="D34" s="397">
        <v>-752343</v>
      </c>
      <c r="E34" s="396">
        <f t="shared" si="1"/>
        <v>261014</v>
      </c>
      <c r="F34" s="379"/>
      <c r="G34" s="379"/>
    </row>
    <row r="35" spans="1:8" ht="17.100000000000001" customHeight="1" x14ac:dyDescent="0.2">
      <c r="A35" s="399" t="s">
        <v>218</v>
      </c>
      <c r="B35" s="397">
        <f>SUM(B36:B37)</f>
        <v>30952609</v>
      </c>
      <c r="C35" s="397">
        <f>SUM(C36:C37)</f>
        <v>-1392841</v>
      </c>
      <c r="D35" s="397">
        <f>SUM(D36:D37)</f>
        <v>-2098866</v>
      </c>
      <c r="E35" s="396">
        <f t="shared" si="1"/>
        <v>706025</v>
      </c>
      <c r="F35" s="379"/>
      <c r="G35" s="379"/>
    </row>
    <row r="36" spans="1:8" ht="17.100000000000001" customHeight="1" x14ac:dyDescent="0.2">
      <c r="A36" s="398" t="s">
        <v>217</v>
      </c>
      <c r="B36" s="397">
        <v>3976187</v>
      </c>
      <c r="C36" s="397">
        <v>-204860</v>
      </c>
      <c r="D36" s="397">
        <v>-371874</v>
      </c>
      <c r="E36" s="396">
        <f t="shared" si="1"/>
        <v>167014</v>
      </c>
      <c r="F36" s="379"/>
      <c r="G36" s="379"/>
    </row>
    <row r="37" spans="1:8" ht="17.100000000000001" customHeight="1" x14ac:dyDescent="0.2">
      <c r="A37" s="398" t="s">
        <v>216</v>
      </c>
      <c r="B37" s="397">
        <f>SUM(B38:B39)</f>
        <v>26976422</v>
      </c>
      <c r="C37" s="397">
        <f>SUM(C38:C39)</f>
        <v>-1187981</v>
      </c>
      <c r="D37" s="397">
        <f>SUM(D38:D39)</f>
        <v>-1726992</v>
      </c>
      <c r="E37" s="396">
        <f t="shared" si="1"/>
        <v>539011</v>
      </c>
      <c r="F37" s="379"/>
      <c r="G37" s="379"/>
    </row>
    <row r="38" spans="1:8" ht="17.100000000000001" customHeight="1" x14ac:dyDescent="0.2">
      <c r="A38" s="398" t="s">
        <v>215</v>
      </c>
      <c r="B38" s="397">
        <v>5825318</v>
      </c>
      <c r="C38" s="397">
        <v>-157515</v>
      </c>
      <c r="D38" s="397">
        <v>-205283</v>
      </c>
      <c r="E38" s="396">
        <f t="shared" si="1"/>
        <v>47768</v>
      </c>
      <c r="F38" s="379"/>
      <c r="G38" s="379"/>
    </row>
    <row r="39" spans="1:8" ht="17.100000000000001" customHeight="1" x14ac:dyDescent="0.2">
      <c r="A39" s="398" t="s">
        <v>214</v>
      </c>
      <c r="B39" s="397">
        <v>21151104</v>
      </c>
      <c r="C39" s="397">
        <v>-1030466</v>
      </c>
      <c r="D39" s="397">
        <v>-1521709</v>
      </c>
      <c r="E39" s="396">
        <f t="shared" si="1"/>
        <v>491243</v>
      </c>
      <c r="F39" s="379"/>
      <c r="G39" s="379"/>
    </row>
    <row r="40" spans="1:8" ht="17.100000000000001" customHeight="1" thickBot="1" x14ac:dyDescent="0.25">
      <c r="A40" s="395" t="s">
        <v>192</v>
      </c>
      <c r="B40" s="386">
        <v>1520728</v>
      </c>
      <c r="C40" s="386">
        <v>-1111</v>
      </c>
      <c r="D40" s="386">
        <v>-1111</v>
      </c>
      <c r="E40" s="394">
        <f t="shared" si="1"/>
        <v>0</v>
      </c>
      <c r="F40" s="379"/>
      <c r="G40" s="379"/>
    </row>
    <row r="41" spans="1:8" ht="17.100000000000001" customHeight="1" thickBot="1" x14ac:dyDescent="0.25">
      <c r="A41" s="384" t="s">
        <v>213</v>
      </c>
      <c r="B41" s="383">
        <v>83308443</v>
      </c>
      <c r="C41" s="383">
        <v>-2977563</v>
      </c>
      <c r="D41" s="383">
        <v>-4029085</v>
      </c>
      <c r="E41" s="382">
        <f>SUM(E29:E30)</f>
        <v>1051522</v>
      </c>
      <c r="F41" s="379"/>
      <c r="G41" s="379"/>
    </row>
    <row r="42" spans="1:8" ht="17.100000000000001" customHeight="1" thickBot="1" x14ac:dyDescent="0.25">
      <c r="A42" s="393" t="s">
        <v>212</v>
      </c>
      <c r="B42" s="392"/>
      <c r="C42" s="392"/>
      <c r="D42" s="391"/>
      <c r="E42" s="391"/>
      <c r="F42" s="379"/>
      <c r="G42" s="379"/>
    </row>
    <row r="43" spans="1:8" ht="24.95" customHeight="1" x14ac:dyDescent="0.2">
      <c r="A43" s="390" t="s">
        <v>211</v>
      </c>
      <c r="B43" s="389">
        <v>21012565</v>
      </c>
      <c r="C43" s="389">
        <v>-30060</v>
      </c>
      <c r="D43" s="389">
        <v>-36185</v>
      </c>
      <c r="E43" s="388">
        <f>C43-D43</f>
        <v>6125</v>
      </c>
      <c r="F43" s="379"/>
      <c r="G43" s="379"/>
    </row>
    <row r="44" spans="1:8" ht="17.100000000000001" customHeight="1" thickBot="1" x14ac:dyDescent="0.25">
      <c r="A44" s="387" t="s">
        <v>210</v>
      </c>
      <c r="B44" s="386">
        <v>5081900</v>
      </c>
      <c r="C44" s="386">
        <v>-15546</v>
      </c>
      <c r="D44" s="386">
        <v>-19696</v>
      </c>
      <c r="E44" s="385">
        <f>C44-D44</f>
        <v>4150</v>
      </c>
      <c r="F44" s="379"/>
      <c r="G44" s="379"/>
    </row>
    <row r="45" spans="1:8" ht="17.100000000000001" customHeight="1" thickBot="1" x14ac:dyDescent="0.25">
      <c r="A45" s="384" t="s">
        <v>209</v>
      </c>
      <c r="B45" s="383">
        <f>SUM(B43:B44)</f>
        <v>26094465</v>
      </c>
      <c r="C45" s="383">
        <f>SUM(C43:C44)</f>
        <v>-45606</v>
      </c>
      <c r="D45" s="383">
        <f>SUM(D43:D44)</f>
        <v>-55881</v>
      </c>
      <c r="E45" s="382">
        <f>SUM(E43:E44)</f>
        <v>10275</v>
      </c>
      <c r="F45" s="379"/>
      <c r="G45" s="379"/>
    </row>
    <row r="46" spans="1:8" ht="12" customHeight="1" x14ac:dyDescent="0.2">
      <c r="A46" s="381"/>
      <c r="B46" s="380"/>
      <c r="C46" s="380"/>
      <c r="D46" s="380"/>
      <c r="E46" s="380"/>
      <c r="F46" s="379"/>
      <c r="G46" s="379"/>
    </row>
    <row r="47" spans="1:8" x14ac:dyDescent="0.2">
      <c r="A47" s="374"/>
      <c r="B47" s="374"/>
      <c r="C47" s="374"/>
      <c r="D47" s="374"/>
      <c r="E47" s="374"/>
      <c r="H47" s="373" t="s">
        <v>204</v>
      </c>
    </row>
    <row r="48" spans="1:8" x14ac:dyDescent="0.15">
      <c r="A48" s="378"/>
      <c r="B48" s="376"/>
      <c r="C48" s="376"/>
      <c r="D48" s="376"/>
      <c r="E48" s="376"/>
    </row>
    <row r="49" spans="1:5" x14ac:dyDescent="0.15">
      <c r="A49" s="378"/>
      <c r="B49" s="377"/>
      <c r="C49" s="376"/>
      <c r="D49" s="376"/>
      <c r="E49" s="376"/>
    </row>
    <row r="50" spans="1:5" x14ac:dyDescent="0.15">
      <c r="A50" s="375"/>
      <c r="B50" s="374"/>
      <c r="C50" s="376"/>
      <c r="D50" s="376"/>
      <c r="E50" s="376"/>
    </row>
    <row r="51" spans="1:5" x14ac:dyDescent="0.15">
      <c r="A51" s="375"/>
      <c r="B51" s="374"/>
      <c r="C51" s="374"/>
      <c r="D51" s="374"/>
      <c r="E51" s="374"/>
    </row>
    <row r="52" spans="1:5" x14ac:dyDescent="0.2">
      <c r="A52" s="374"/>
      <c r="B52" s="374"/>
      <c r="C52" s="374"/>
      <c r="D52" s="374"/>
      <c r="E52" s="374"/>
    </row>
  </sheetData>
  <pageMargins left="0.28000000000000003" right="0.17" top="0.45" bottom="1" header="0.26" footer="0.5"/>
  <pageSetup paperSize="9" scale="87" fitToHeight="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H28"/>
  <sheetViews>
    <sheetView zoomScale="90" zoomScaleNormal="90" workbookViewId="0">
      <selection activeCell="F35" sqref="F35"/>
    </sheetView>
  </sheetViews>
  <sheetFormatPr defaultRowHeight="10.5" x14ac:dyDescent="0.2"/>
  <cols>
    <col min="1" max="1" width="2.28515625" style="3" customWidth="1"/>
    <col min="2" max="2" width="40.7109375" style="23" customWidth="1"/>
    <col min="3" max="4" width="15.7109375" style="407" customWidth="1"/>
    <col min="5" max="8" width="15.7109375" style="22" customWidth="1"/>
    <col min="9" max="16384" width="9.140625" style="22"/>
  </cols>
  <sheetData>
    <row r="2" spans="2:8" ht="18.95" customHeight="1" thickBot="1" x14ac:dyDescent="0.25">
      <c r="B2" s="451"/>
      <c r="C2" s="983" t="s">
        <v>5</v>
      </c>
      <c r="D2" s="983"/>
      <c r="E2" s="983"/>
      <c r="F2" s="983" t="s">
        <v>4</v>
      </c>
      <c r="G2" s="983"/>
      <c r="H2" s="984"/>
    </row>
    <row r="3" spans="2:8" ht="75" customHeight="1" thickBot="1" x14ac:dyDescent="0.25">
      <c r="B3" s="450"/>
      <c r="C3" s="449" t="s">
        <v>236</v>
      </c>
      <c r="D3" s="449" t="s">
        <v>235</v>
      </c>
      <c r="E3" s="449" t="s">
        <v>234</v>
      </c>
      <c r="F3" s="449" t="s">
        <v>236</v>
      </c>
      <c r="G3" s="449" t="s">
        <v>235</v>
      </c>
      <c r="H3" s="448" t="s">
        <v>234</v>
      </c>
    </row>
    <row r="4" spans="2:8" ht="18.95" customHeight="1" thickBot="1" x14ac:dyDescent="0.25">
      <c r="B4" s="447" t="s">
        <v>58</v>
      </c>
      <c r="C4" s="446">
        <f t="shared" ref="C4:H4" si="0">C5+C8+C9</f>
        <v>24652766</v>
      </c>
      <c r="D4" s="446">
        <f t="shared" si="0"/>
        <v>6674486</v>
      </c>
      <c r="E4" s="446">
        <f t="shared" si="0"/>
        <v>31327252</v>
      </c>
      <c r="F4" s="446">
        <f t="shared" si="0"/>
        <v>25141089</v>
      </c>
      <c r="G4" s="446">
        <f t="shared" si="0"/>
        <v>5396481</v>
      </c>
      <c r="H4" s="445">
        <f t="shared" si="0"/>
        <v>30537570</v>
      </c>
    </row>
    <row r="5" spans="2:8" ht="18.95" customHeight="1" x14ac:dyDescent="0.2">
      <c r="B5" s="444" t="s">
        <v>57</v>
      </c>
      <c r="C5" s="443">
        <f>SUM(C6:C7)</f>
        <v>21576835</v>
      </c>
      <c r="D5" s="443">
        <f>SUM(D6:D7)</f>
        <v>6674486</v>
      </c>
      <c r="E5" s="443">
        <f t="shared" ref="E5:E13" si="1">SUM(C5:D5)</f>
        <v>28251321</v>
      </c>
      <c r="F5" s="443">
        <f>SUM(F6:F7)</f>
        <v>16842144</v>
      </c>
      <c r="G5" s="443">
        <f>SUM(G6:G7)</f>
        <v>5396481</v>
      </c>
      <c r="H5" s="442">
        <f t="shared" ref="H5:H13" si="2">SUM(F5:G5)</f>
        <v>22238625</v>
      </c>
    </row>
    <row r="6" spans="2:8" ht="18.95" customHeight="1" x14ac:dyDescent="0.2">
      <c r="B6" s="433" t="s">
        <v>56</v>
      </c>
      <c r="C6" s="441">
        <v>21576835</v>
      </c>
      <c r="D6" s="441">
        <v>6674486</v>
      </c>
      <c r="E6" s="441">
        <f t="shared" si="1"/>
        <v>28251321</v>
      </c>
      <c r="F6" s="441">
        <v>16842144</v>
      </c>
      <c r="G6" s="441">
        <v>5396481</v>
      </c>
      <c r="H6" s="440">
        <f t="shared" si="2"/>
        <v>22238625</v>
      </c>
    </row>
    <row r="7" spans="2:8" ht="18.95" hidden="1" customHeight="1" x14ac:dyDescent="0.2">
      <c r="B7" s="433" t="s">
        <v>55</v>
      </c>
      <c r="C7" s="441">
        <v>0</v>
      </c>
      <c r="D7" s="441">
        <v>0</v>
      </c>
      <c r="E7" s="441">
        <f t="shared" si="1"/>
        <v>0</v>
      </c>
      <c r="F7" s="441">
        <v>0</v>
      </c>
      <c r="G7" s="441">
        <v>0</v>
      </c>
      <c r="H7" s="440">
        <f t="shared" si="2"/>
        <v>0</v>
      </c>
    </row>
    <row r="8" spans="2:8" ht="18.95" customHeight="1" x14ac:dyDescent="0.2">
      <c r="B8" s="439" t="s">
        <v>54</v>
      </c>
      <c r="C8" s="438">
        <v>1816077</v>
      </c>
      <c r="D8" s="438">
        <v>0</v>
      </c>
      <c r="E8" s="438">
        <f t="shared" si="1"/>
        <v>1816077</v>
      </c>
      <c r="F8" s="438">
        <v>7442384</v>
      </c>
      <c r="G8" s="438"/>
      <c r="H8" s="437">
        <f t="shared" si="2"/>
        <v>7442384</v>
      </c>
    </row>
    <row r="9" spans="2:8" ht="18.95" customHeight="1" x14ac:dyDescent="0.2">
      <c r="B9" s="436" t="s">
        <v>53</v>
      </c>
      <c r="C9" s="435">
        <f>SUM(C10:C13)</f>
        <v>1259854</v>
      </c>
      <c r="D9" s="435">
        <f>SUM(D10:D13)</f>
        <v>0</v>
      </c>
      <c r="E9" s="435">
        <f t="shared" si="1"/>
        <v>1259854</v>
      </c>
      <c r="F9" s="435">
        <f>SUM(F10:F13)</f>
        <v>856561</v>
      </c>
      <c r="G9" s="435">
        <f>SUM(G10:G13)</f>
        <v>0</v>
      </c>
      <c r="H9" s="434">
        <f t="shared" si="2"/>
        <v>856561</v>
      </c>
    </row>
    <row r="10" spans="2:8" ht="18.95" customHeight="1" x14ac:dyDescent="0.2">
      <c r="B10" s="433" t="s">
        <v>52</v>
      </c>
      <c r="C10" s="432">
        <v>140880</v>
      </c>
      <c r="D10" s="432">
        <v>0</v>
      </c>
      <c r="E10" s="432">
        <f t="shared" si="1"/>
        <v>140880</v>
      </c>
      <c r="F10" s="432">
        <v>233158</v>
      </c>
      <c r="G10" s="432">
        <v>0</v>
      </c>
      <c r="H10" s="431">
        <f t="shared" si="2"/>
        <v>233158</v>
      </c>
    </row>
    <row r="11" spans="2:8" ht="18.95" customHeight="1" x14ac:dyDescent="0.2">
      <c r="B11" s="433" t="s">
        <v>51</v>
      </c>
      <c r="C11" s="432">
        <v>50466</v>
      </c>
      <c r="D11" s="432">
        <v>0</v>
      </c>
      <c r="E11" s="432">
        <f t="shared" si="1"/>
        <v>50466</v>
      </c>
      <c r="F11" s="432">
        <v>0</v>
      </c>
      <c r="G11" s="432">
        <v>0</v>
      </c>
      <c r="H11" s="431">
        <f t="shared" si="2"/>
        <v>0</v>
      </c>
    </row>
    <row r="12" spans="2:8" ht="18.95" customHeight="1" x14ac:dyDescent="0.2">
      <c r="B12" s="433" t="s">
        <v>50</v>
      </c>
      <c r="C12" s="432">
        <v>1031538</v>
      </c>
      <c r="D12" s="432">
        <v>0</v>
      </c>
      <c r="E12" s="432">
        <f t="shared" si="1"/>
        <v>1031538</v>
      </c>
      <c r="F12" s="432">
        <v>583456</v>
      </c>
      <c r="G12" s="432">
        <v>0</v>
      </c>
      <c r="H12" s="431">
        <f t="shared" si="2"/>
        <v>583456</v>
      </c>
    </row>
    <row r="13" spans="2:8" ht="18.95" customHeight="1" thickBot="1" x14ac:dyDescent="0.25">
      <c r="B13" s="430" t="s">
        <v>49</v>
      </c>
      <c r="C13" s="429">
        <v>36970</v>
      </c>
      <c r="D13" s="429">
        <v>0</v>
      </c>
      <c r="E13" s="429">
        <f t="shared" si="1"/>
        <v>36970</v>
      </c>
      <c r="F13" s="429">
        <v>39947</v>
      </c>
      <c r="G13" s="429">
        <v>0</v>
      </c>
      <c r="H13" s="428">
        <f t="shared" si="2"/>
        <v>39947</v>
      </c>
    </row>
    <row r="14" spans="2:8" ht="18.95" customHeight="1" thickBot="1" x14ac:dyDescent="0.25">
      <c r="B14" s="413" t="s">
        <v>48</v>
      </c>
      <c r="C14" s="412">
        <f t="shared" ref="C14:H14" si="3">SUM(C15:C16)</f>
        <v>66100</v>
      </c>
      <c r="D14" s="412">
        <f t="shared" si="3"/>
        <v>0</v>
      </c>
      <c r="E14" s="412">
        <f t="shared" si="3"/>
        <v>66100</v>
      </c>
      <c r="F14" s="412">
        <f t="shared" si="3"/>
        <v>199379</v>
      </c>
      <c r="G14" s="412">
        <f t="shared" si="3"/>
        <v>0</v>
      </c>
      <c r="H14" s="411">
        <f t="shared" si="3"/>
        <v>199379</v>
      </c>
    </row>
    <row r="15" spans="2:8" ht="18.95" hidden="1" customHeight="1" x14ac:dyDescent="0.2">
      <c r="B15" s="427" t="s">
        <v>233</v>
      </c>
      <c r="C15" s="426">
        <v>0</v>
      </c>
      <c r="D15" s="426">
        <v>0</v>
      </c>
      <c r="E15" s="426">
        <f>SUM(C15:D15)</f>
        <v>0</v>
      </c>
      <c r="F15" s="426">
        <v>0</v>
      </c>
      <c r="G15" s="426">
        <v>0</v>
      </c>
      <c r="H15" s="425">
        <f>SUM(F15:G15)</f>
        <v>0</v>
      </c>
    </row>
    <row r="16" spans="2:8" ht="18.95" customHeight="1" thickBot="1" x14ac:dyDescent="0.25">
      <c r="B16" s="424" t="s">
        <v>232</v>
      </c>
      <c r="C16" s="423">
        <v>66100</v>
      </c>
      <c r="D16" s="423">
        <v>0</v>
      </c>
      <c r="E16" s="423">
        <f>SUM(C16:D16)</f>
        <v>66100</v>
      </c>
      <c r="F16" s="423">
        <v>199379</v>
      </c>
      <c r="G16" s="423">
        <v>0</v>
      </c>
      <c r="H16" s="422">
        <f>SUM(F16:G16)</f>
        <v>199379</v>
      </c>
    </row>
    <row r="17" spans="2:8" ht="9.9499999999999993" customHeight="1" thickBot="1" x14ac:dyDescent="0.25">
      <c r="B17" s="421"/>
      <c r="C17" s="420"/>
      <c r="D17" s="420"/>
      <c r="E17" s="412"/>
      <c r="F17" s="419"/>
      <c r="G17" s="419"/>
      <c r="H17" s="418"/>
    </row>
    <row r="18" spans="2:8" ht="30" customHeight="1" thickBot="1" x14ac:dyDescent="0.25">
      <c r="B18" s="413" t="s">
        <v>231</v>
      </c>
      <c r="C18" s="412">
        <f t="shared" ref="C18:H18" si="4">C4+C14</f>
        <v>24718866</v>
      </c>
      <c r="D18" s="412">
        <f t="shared" si="4"/>
        <v>6674486</v>
      </c>
      <c r="E18" s="412">
        <f t="shared" si="4"/>
        <v>31393352</v>
      </c>
      <c r="F18" s="412">
        <f t="shared" si="4"/>
        <v>25340468</v>
      </c>
      <c r="G18" s="412">
        <f t="shared" si="4"/>
        <v>5396481</v>
      </c>
      <c r="H18" s="411">
        <f t="shared" si="4"/>
        <v>30736949</v>
      </c>
    </row>
    <row r="19" spans="2:8" ht="9.9499999999999993" customHeight="1" thickBot="1" x14ac:dyDescent="0.25">
      <c r="B19" s="417"/>
      <c r="C19" s="416"/>
      <c r="D19" s="416"/>
      <c r="E19" s="415"/>
      <c r="F19" s="415"/>
      <c r="G19" s="415"/>
      <c r="H19" s="414"/>
    </row>
    <row r="20" spans="2:8" ht="18.95" customHeight="1" thickBot="1" x14ac:dyDescent="0.25">
      <c r="B20" s="413" t="s">
        <v>20</v>
      </c>
      <c r="C20" s="412">
        <v>4684730</v>
      </c>
      <c r="D20" s="412">
        <v>58224</v>
      </c>
      <c r="E20" s="412">
        <f>SUM(C20:D20)</f>
        <v>4742954</v>
      </c>
      <c r="F20" s="412">
        <v>11196419</v>
      </c>
      <c r="G20" s="412">
        <v>90975</v>
      </c>
      <c r="H20" s="411">
        <f>SUM(F20:G20)</f>
        <v>11287394</v>
      </c>
    </row>
    <row r="21" spans="2:8" ht="18.95" customHeight="1" thickBot="1" x14ac:dyDescent="0.25">
      <c r="B21" s="413" t="s">
        <v>19</v>
      </c>
      <c r="C21" s="412">
        <v>20034136</v>
      </c>
      <c r="D21" s="412">
        <v>6616262</v>
      </c>
      <c r="E21" s="412">
        <f>SUM(C21:D21)</f>
        <v>26650398</v>
      </c>
      <c r="F21" s="412">
        <v>14144049</v>
      </c>
      <c r="G21" s="412">
        <v>5305506</v>
      </c>
      <c r="H21" s="411">
        <f>SUM(F21:G21)</f>
        <v>19449555</v>
      </c>
    </row>
    <row r="22" spans="2:8" ht="15" customHeight="1" x14ac:dyDescent="0.2">
      <c r="B22" s="410"/>
      <c r="C22" s="409"/>
      <c r="D22" s="409"/>
    </row>
    <row r="23" spans="2:8" ht="15" customHeight="1" x14ac:dyDescent="0.2">
      <c r="B23" s="408"/>
      <c r="C23" s="36"/>
      <c r="D23" s="36"/>
      <c r="E23" s="36"/>
      <c r="F23" s="36"/>
      <c r="G23" s="36"/>
      <c r="H23" s="36"/>
    </row>
    <row r="24" spans="2:8" ht="15" customHeight="1" x14ac:dyDescent="0.2">
      <c r="B24" s="408"/>
      <c r="C24" s="36"/>
      <c r="D24" s="36"/>
      <c r="E24" s="36"/>
      <c r="F24" s="36"/>
      <c r="G24" s="36"/>
      <c r="H24" s="36"/>
    </row>
    <row r="25" spans="2:8" x14ac:dyDescent="0.2">
      <c r="G25" s="98"/>
      <c r="H25" s="98"/>
    </row>
    <row r="27" spans="2:8" x14ac:dyDescent="0.2">
      <c r="F27" s="407"/>
      <c r="G27" s="33"/>
    </row>
    <row r="28" spans="2:8" x14ac:dyDescent="0.2">
      <c r="F28" s="407"/>
      <c r="G28" s="33"/>
    </row>
  </sheetData>
  <mergeCells count="2">
    <mergeCell ref="C2:E2"/>
    <mergeCell ref="F2:H2"/>
  </mergeCells>
  <pageMargins left="0.26" right="0.37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E69"/>
  <sheetViews>
    <sheetView workbookViewId="0">
      <selection activeCell="B14" sqref="B14"/>
    </sheetView>
  </sheetViews>
  <sheetFormatPr defaultRowHeight="10.5" x14ac:dyDescent="0.2"/>
  <cols>
    <col min="1" max="1" width="2.85546875" style="452" customWidth="1"/>
    <col min="2" max="2" width="59.7109375" style="452" customWidth="1"/>
    <col min="3" max="4" width="15.7109375" style="452" customWidth="1"/>
    <col min="5" max="16384" width="9.140625" style="452"/>
  </cols>
  <sheetData>
    <row r="2" spans="1:5" s="22" customFormat="1" ht="17.100000000000001" customHeight="1" thickBot="1" x14ac:dyDescent="0.25">
      <c r="A2" s="3"/>
      <c r="B2" s="504"/>
      <c r="C2" s="985" t="s">
        <v>107</v>
      </c>
      <c r="D2" s="986"/>
    </row>
    <row r="3" spans="1:5" s="22" customFormat="1" ht="17.100000000000001" customHeight="1" x14ac:dyDescent="0.2">
      <c r="A3" s="3"/>
      <c r="B3" s="504"/>
      <c r="C3" s="478">
        <v>2016</v>
      </c>
      <c r="D3" s="477">
        <v>2015</v>
      </c>
    </row>
    <row r="4" spans="1:5" s="22" customFormat="1" ht="24.95" customHeight="1" x14ac:dyDescent="0.2">
      <c r="A4" s="3"/>
      <c r="B4" s="462" t="s">
        <v>262</v>
      </c>
      <c r="C4" s="503">
        <v>269159</v>
      </c>
      <c r="D4" s="502">
        <v>133413</v>
      </c>
      <c r="E4" s="496"/>
    </row>
    <row r="5" spans="1:5" s="22" customFormat="1" ht="17.100000000000001" customHeight="1" x14ac:dyDescent="0.2">
      <c r="A5" s="3"/>
      <c r="B5" s="459" t="s">
        <v>261</v>
      </c>
      <c r="C5" s="501">
        <v>241</v>
      </c>
      <c r="D5" s="500">
        <v>189694</v>
      </c>
      <c r="E5" s="496"/>
    </row>
    <row r="6" spans="1:5" s="22" customFormat="1" ht="17.100000000000001" customHeight="1" x14ac:dyDescent="0.2">
      <c r="A6" s="3"/>
      <c r="B6" s="459" t="s">
        <v>260</v>
      </c>
      <c r="C6" s="501">
        <v>-7677</v>
      </c>
      <c r="D6" s="500">
        <v>-200</v>
      </c>
      <c r="E6" s="496"/>
    </row>
    <row r="7" spans="1:5" s="22" customFormat="1" ht="24.95" hidden="1" customHeight="1" x14ac:dyDescent="0.2">
      <c r="A7" s="3"/>
      <c r="B7" s="499" t="s">
        <v>259</v>
      </c>
      <c r="C7" s="498">
        <v>0</v>
      </c>
      <c r="D7" s="497">
        <v>0</v>
      </c>
      <c r="E7" s="496"/>
    </row>
    <row r="8" spans="1:5" s="22" customFormat="1" ht="17.100000000000001" customHeight="1" thickBot="1" x14ac:dyDescent="0.25">
      <c r="A8" s="3"/>
      <c r="B8" s="458" t="s">
        <v>258</v>
      </c>
      <c r="C8" s="495">
        <v>-442</v>
      </c>
      <c r="D8" s="494">
        <v>-8499</v>
      </c>
    </row>
    <row r="9" spans="1:5" s="22" customFormat="1" ht="17.100000000000001" hidden="1" customHeight="1" thickBot="1" x14ac:dyDescent="0.25">
      <c r="A9" s="3"/>
      <c r="B9" s="493" t="s">
        <v>257</v>
      </c>
      <c r="C9" s="492">
        <v>0</v>
      </c>
      <c r="D9" s="491">
        <v>0</v>
      </c>
    </row>
    <row r="10" spans="1:5" s="22" customFormat="1" ht="24.95" customHeight="1" thickBot="1" x14ac:dyDescent="0.25">
      <c r="A10" s="3"/>
      <c r="B10" s="255" t="s">
        <v>256</v>
      </c>
      <c r="C10" s="490">
        <f>SUM(C4:C9)</f>
        <v>261281</v>
      </c>
      <c r="D10" s="489">
        <f>SUM(D4:D9)</f>
        <v>314408</v>
      </c>
    </row>
    <row r="11" spans="1:5" s="22" customFormat="1" ht="17.100000000000001" customHeight="1" x14ac:dyDescent="0.2">
      <c r="A11" s="3"/>
      <c r="B11" s="488"/>
      <c r="C11" s="482"/>
      <c r="D11" s="482"/>
    </row>
    <row r="12" spans="1:5" s="22" customFormat="1" ht="17.100000000000001" customHeight="1" x14ac:dyDescent="0.2">
      <c r="A12" s="3"/>
      <c r="B12" s="408"/>
      <c r="C12" s="487"/>
      <c r="D12" s="487"/>
    </row>
    <row r="13" spans="1:5" s="22" customFormat="1" ht="17.100000000000001" customHeight="1" thickBot="1" x14ac:dyDescent="0.25">
      <c r="A13" s="31"/>
      <c r="B13" s="925" t="s">
        <v>688</v>
      </c>
      <c r="C13" s="482"/>
      <c r="D13" s="482"/>
    </row>
    <row r="14" spans="1:5" s="22" customFormat="1" ht="17.100000000000001" customHeight="1" x14ac:dyDescent="0.2">
      <c r="A14" s="31"/>
      <c r="B14" s="479"/>
      <c r="C14" s="478" t="s">
        <v>5</v>
      </c>
      <c r="D14" s="477" t="s">
        <v>4</v>
      </c>
    </row>
    <row r="15" spans="1:5" s="22" customFormat="1" ht="17.100000000000001" customHeight="1" thickBot="1" x14ac:dyDescent="0.25">
      <c r="A15" s="31"/>
      <c r="B15" s="227" t="s">
        <v>255</v>
      </c>
      <c r="C15" s="486"/>
      <c r="D15" s="486"/>
    </row>
    <row r="16" spans="1:5" s="22" customFormat="1" ht="17.100000000000001" customHeight="1" thickBot="1" x14ac:dyDescent="0.25">
      <c r="A16" s="31"/>
      <c r="B16" s="255" t="s">
        <v>243</v>
      </c>
      <c r="C16" s="485">
        <f>D22</f>
        <v>30736949</v>
      </c>
      <c r="D16" s="484">
        <v>27678614</v>
      </c>
    </row>
    <row r="17" spans="1:5" s="22" customFormat="1" ht="17.100000000000001" customHeight="1" x14ac:dyDescent="0.2">
      <c r="A17" s="31"/>
      <c r="B17" s="462" t="s">
        <v>254</v>
      </c>
      <c r="C17" s="461">
        <v>58002</v>
      </c>
      <c r="D17" s="460">
        <v>21388</v>
      </c>
    </row>
    <row r="18" spans="1:5" s="22" customFormat="1" ht="17.100000000000001" customHeight="1" x14ac:dyDescent="0.2">
      <c r="A18" s="31"/>
      <c r="B18" s="459" t="s">
        <v>253</v>
      </c>
      <c r="C18" s="229">
        <v>157282967</v>
      </c>
      <c r="D18" s="228">
        <v>339313828</v>
      </c>
    </row>
    <row r="19" spans="1:5" s="22" customFormat="1" ht="17.100000000000001" customHeight="1" x14ac:dyDescent="0.2">
      <c r="A19" s="31"/>
      <c r="B19" s="459" t="s">
        <v>252</v>
      </c>
      <c r="C19" s="229">
        <v>-156295046</v>
      </c>
      <c r="D19" s="228">
        <v>-336244836</v>
      </c>
    </row>
    <row r="20" spans="1:5" s="22" customFormat="1" ht="24.95" customHeight="1" x14ac:dyDescent="0.2">
      <c r="A20" s="31"/>
      <c r="B20" s="459" t="s">
        <v>251</v>
      </c>
      <c r="C20" s="229">
        <v>-8119</v>
      </c>
      <c r="D20" s="228">
        <v>-8709</v>
      </c>
    </row>
    <row r="21" spans="1:5" s="22" customFormat="1" ht="17.100000000000001" customHeight="1" thickBot="1" x14ac:dyDescent="0.25">
      <c r="A21" s="31"/>
      <c r="B21" s="458" t="s">
        <v>250</v>
      </c>
      <c r="C21" s="457">
        <v>-381401</v>
      </c>
      <c r="D21" s="456">
        <v>-23336</v>
      </c>
    </row>
    <row r="22" spans="1:5" s="22" customFormat="1" ht="17.100000000000001" customHeight="1" thickBot="1" x14ac:dyDescent="0.25">
      <c r="A22" s="31"/>
      <c r="B22" s="455" t="s">
        <v>237</v>
      </c>
      <c r="C22" s="454">
        <f>SUM(C16:C21)</f>
        <v>31393352</v>
      </c>
      <c r="D22" s="453">
        <f>SUM(D16:D21)</f>
        <v>30736949</v>
      </c>
    </row>
    <row r="23" spans="1:5" s="22" customFormat="1" ht="17.100000000000001" customHeight="1" x14ac:dyDescent="0.2">
      <c r="A23" s="31"/>
      <c r="B23" s="483"/>
      <c r="C23" s="482"/>
      <c r="D23" s="482"/>
    </row>
    <row r="24" spans="1:5" s="22" customFormat="1" ht="17.100000000000001" customHeight="1" x14ac:dyDescent="0.2">
      <c r="A24" s="31"/>
      <c r="C24" s="480"/>
      <c r="D24" s="480"/>
      <c r="E24" s="98"/>
    </row>
    <row r="25" spans="1:5" s="22" customFormat="1" ht="29.25" customHeight="1" x14ac:dyDescent="0.2">
      <c r="A25" s="31"/>
      <c r="B25" s="926" t="s">
        <v>249</v>
      </c>
      <c r="C25" s="480"/>
      <c r="D25" s="480"/>
    </row>
    <row r="26" spans="1:5" s="22" customFormat="1" ht="17.100000000000001" customHeight="1" thickBot="1" x14ac:dyDescent="0.25">
      <c r="A26" s="31"/>
      <c r="B26" s="481"/>
      <c r="C26" s="480"/>
      <c r="D26" s="480"/>
    </row>
    <row r="27" spans="1:5" s="22" customFormat="1" ht="17.100000000000001" customHeight="1" x14ac:dyDescent="0.2">
      <c r="A27" s="31"/>
      <c r="B27" s="479"/>
      <c r="C27" s="478" t="s">
        <v>5</v>
      </c>
      <c r="D27" s="477" t="s">
        <v>4</v>
      </c>
    </row>
    <row r="28" spans="1:5" s="22" customFormat="1" ht="17.100000000000001" hidden="1" customHeight="1" thickBot="1" x14ac:dyDescent="0.25">
      <c r="A28" s="3"/>
      <c r="B28" s="474" t="s">
        <v>248</v>
      </c>
      <c r="C28" s="473"/>
      <c r="D28" s="473"/>
    </row>
    <row r="29" spans="1:5" s="22" customFormat="1" ht="17.100000000000001" hidden="1" customHeight="1" thickBot="1" x14ac:dyDescent="0.25">
      <c r="A29" s="3"/>
      <c r="B29" s="476" t="s">
        <v>246</v>
      </c>
      <c r="C29" s="475"/>
      <c r="D29" s="475"/>
    </row>
    <row r="30" spans="1:5" s="22" customFormat="1" ht="17.100000000000001" hidden="1" customHeight="1" thickBot="1" x14ac:dyDescent="0.25">
      <c r="A30" s="3"/>
      <c r="B30" s="455" t="s">
        <v>243</v>
      </c>
      <c r="C30" s="454">
        <v>0</v>
      </c>
      <c r="D30" s="453">
        <v>0</v>
      </c>
    </row>
    <row r="31" spans="1:5" s="22" customFormat="1" ht="17.100000000000001" hidden="1" customHeight="1" x14ac:dyDescent="0.2">
      <c r="A31" s="3"/>
      <c r="B31" s="465" t="s">
        <v>242</v>
      </c>
      <c r="C31" s="464">
        <v>0</v>
      </c>
      <c r="D31" s="463">
        <v>0</v>
      </c>
    </row>
    <row r="32" spans="1:5" s="22" customFormat="1" ht="17.100000000000001" hidden="1" customHeight="1" x14ac:dyDescent="0.2">
      <c r="A32" s="3"/>
      <c r="B32" s="462" t="s">
        <v>241</v>
      </c>
      <c r="C32" s="461">
        <v>0</v>
      </c>
      <c r="D32" s="460">
        <v>0</v>
      </c>
    </row>
    <row r="33" spans="1:4" s="22" customFormat="1" ht="17.100000000000001" hidden="1" customHeight="1" x14ac:dyDescent="0.2">
      <c r="A33" s="3"/>
      <c r="B33" s="459" t="s">
        <v>240</v>
      </c>
      <c r="C33" s="229">
        <v>0</v>
      </c>
      <c r="D33" s="228">
        <v>0</v>
      </c>
    </row>
    <row r="34" spans="1:4" s="22" customFormat="1" ht="17.100000000000001" hidden="1" customHeight="1" x14ac:dyDescent="0.2">
      <c r="A34" s="3"/>
      <c r="B34" s="459" t="s">
        <v>9</v>
      </c>
      <c r="C34" s="229">
        <v>0</v>
      </c>
      <c r="D34" s="228">
        <v>0</v>
      </c>
    </row>
    <row r="35" spans="1:4" s="22" customFormat="1" ht="17.100000000000001" hidden="1" customHeight="1" thickBot="1" x14ac:dyDescent="0.25">
      <c r="A35" s="3"/>
      <c r="B35" s="458" t="s">
        <v>239</v>
      </c>
      <c r="C35" s="457">
        <v>0</v>
      </c>
      <c r="D35" s="456">
        <v>0</v>
      </c>
    </row>
    <row r="36" spans="1:4" s="22" customFormat="1" ht="17.100000000000001" hidden="1" customHeight="1" thickBot="1" x14ac:dyDescent="0.25">
      <c r="A36" s="3"/>
      <c r="B36" s="455" t="s">
        <v>237</v>
      </c>
      <c r="C36" s="454">
        <f>SUM(C30:C35)</f>
        <v>0</v>
      </c>
      <c r="D36" s="453">
        <f>SUM(D30:D35)</f>
        <v>0</v>
      </c>
    </row>
    <row r="37" spans="1:4" s="22" customFormat="1" ht="17.100000000000001" hidden="1" customHeight="1" thickBot="1" x14ac:dyDescent="0.25">
      <c r="A37" s="3"/>
      <c r="B37" s="476" t="s">
        <v>245</v>
      </c>
      <c r="C37" s="475"/>
      <c r="D37" s="475"/>
    </row>
    <row r="38" spans="1:4" s="22" customFormat="1" ht="17.100000000000001" hidden="1" customHeight="1" thickBot="1" x14ac:dyDescent="0.25">
      <c r="A38" s="3"/>
      <c r="B38" s="455" t="s">
        <v>243</v>
      </c>
      <c r="C38" s="454">
        <v>0</v>
      </c>
      <c r="D38" s="453">
        <v>0</v>
      </c>
    </row>
    <row r="39" spans="1:4" s="22" customFormat="1" ht="17.100000000000001" hidden="1" customHeight="1" x14ac:dyDescent="0.2">
      <c r="A39" s="3"/>
      <c r="B39" s="465" t="s">
        <v>242</v>
      </c>
      <c r="C39" s="464">
        <v>0</v>
      </c>
      <c r="D39" s="463">
        <v>0</v>
      </c>
    </row>
    <row r="40" spans="1:4" s="22" customFormat="1" ht="17.100000000000001" hidden="1" customHeight="1" x14ac:dyDescent="0.2">
      <c r="A40" s="3"/>
      <c r="B40" s="462" t="s">
        <v>241</v>
      </c>
      <c r="C40" s="461">
        <v>0</v>
      </c>
      <c r="D40" s="460">
        <v>0</v>
      </c>
    </row>
    <row r="41" spans="1:4" s="22" customFormat="1" ht="17.100000000000001" hidden="1" customHeight="1" x14ac:dyDescent="0.2">
      <c r="A41" s="3"/>
      <c r="B41" s="459" t="s">
        <v>240</v>
      </c>
      <c r="C41" s="229">
        <v>0</v>
      </c>
      <c r="D41" s="228">
        <v>0</v>
      </c>
    </row>
    <row r="42" spans="1:4" s="22" customFormat="1" ht="17.100000000000001" hidden="1" customHeight="1" x14ac:dyDescent="0.2">
      <c r="A42" s="3"/>
      <c r="B42" s="459" t="s">
        <v>9</v>
      </c>
      <c r="C42" s="229">
        <v>0</v>
      </c>
      <c r="D42" s="228">
        <v>0</v>
      </c>
    </row>
    <row r="43" spans="1:4" s="22" customFormat="1" ht="17.100000000000001" hidden="1" customHeight="1" thickBot="1" x14ac:dyDescent="0.25">
      <c r="A43" s="3"/>
      <c r="B43" s="458" t="s">
        <v>239</v>
      </c>
      <c r="C43" s="457">
        <v>0</v>
      </c>
      <c r="D43" s="456">
        <v>0</v>
      </c>
    </row>
    <row r="44" spans="1:4" s="22" customFormat="1" ht="17.100000000000001" hidden="1" customHeight="1" thickBot="1" x14ac:dyDescent="0.25">
      <c r="A44" s="3"/>
      <c r="B44" s="455" t="s">
        <v>237</v>
      </c>
      <c r="C44" s="454">
        <f>SUM(C38:C43)</f>
        <v>0</v>
      </c>
      <c r="D44" s="453">
        <f>SUM(D38:D43)</f>
        <v>0</v>
      </c>
    </row>
    <row r="45" spans="1:4" s="22" customFormat="1" ht="17.100000000000001" customHeight="1" thickBot="1" x14ac:dyDescent="0.25">
      <c r="A45" s="3"/>
      <c r="B45" s="474" t="s">
        <v>247</v>
      </c>
      <c r="C45" s="473"/>
      <c r="D45" s="473"/>
    </row>
    <row r="46" spans="1:4" s="22" customFormat="1" ht="17.100000000000001" hidden="1" customHeight="1" thickBot="1" x14ac:dyDescent="0.25">
      <c r="A46" s="3"/>
      <c r="B46" s="472" t="s">
        <v>246</v>
      </c>
      <c r="C46" s="471"/>
      <c r="D46" s="471"/>
    </row>
    <row r="47" spans="1:4" s="22" customFormat="1" ht="17.100000000000001" hidden="1" customHeight="1" thickBot="1" x14ac:dyDescent="0.25">
      <c r="A47" s="3"/>
      <c r="B47" s="455" t="s">
        <v>243</v>
      </c>
      <c r="C47" s="454">
        <f>D53</f>
        <v>0</v>
      </c>
      <c r="D47" s="453">
        <v>0</v>
      </c>
    </row>
    <row r="48" spans="1:4" s="22" customFormat="1" ht="17.100000000000001" hidden="1" customHeight="1" x14ac:dyDescent="0.2">
      <c r="A48" s="3"/>
      <c r="B48" s="465" t="s">
        <v>242</v>
      </c>
      <c r="C48" s="464">
        <v>0</v>
      </c>
      <c r="D48" s="463">
        <v>0</v>
      </c>
    </row>
    <row r="49" spans="1:4" s="22" customFormat="1" ht="17.100000000000001" hidden="1" customHeight="1" x14ac:dyDescent="0.2">
      <c r="A49" s="3"/>
      <c r="B49" s="462" t="s">
        <v>241</v>
      </c>
      <c r="C49" s="461">
        <v>0</v>
      </c>
      <c r="D49" s="460">
        <v>0</v>
      </c>
    </row>
    <row r="50" spans="1:4" s="22" customFormat="1" ht="17.100000000000001" hidden="1" customHeight="1" x14ac:dyDescent="0.2">
      <c r="A50" s="3"/>
      <c r="B50" s="459" t="s">
        <v>240</v>
      </c>
      <c r="C50" s="229">
        <v>0</v>
      </c>
      <c r="D50" s="228">
        <v>0</v>
      </c>
    </row>
    <row r="51" spans="1:4" s="22" customFormat="1" ht="17.100000000000001" hidden="1" customHeight="1" x14ac:dyDescent="0.2">
      <c r="A51" s="3"/>
      <c r="B51" s="459" t="s">
        <v>9</v>
      </c>
      <c r="C51" s="229">
        <v>0</v>
      </c>
      <c r="D51" s="228">
        <v>0</v>
      </c>
    </row>
    <row r="52" spans="1:4" s="22" customFormat="1" ht="17.100000000000001" hidden="1" customHeight="1" thickBot="1" x14ac:dyDescent="0.25">
      <c r="A52" s="3"/>
      <c r="B52" s="458" t="s">
        <v>239</v>
      </c>
      <c r="C52" s="457">
        <v>0</v>
      </c>
      <c r="D52" s="456">
        <v>0</v>
      </c>
    </row>
    <row r="53" spans="1:4" s="22" customFormat="1" ht="17.100000000000001" hidden="1" customHeight="1" thickBot="1" x14ac:dyDescent="0.25">
      <c r="A53" s="3"/>
      <c r="B53" s="455" t="s">
        <v>237</v>
      </c>
      <c r="C53" s="454">
        <f>SUM(C47:C52)</f>
        <v>0</v>
      </c>
      <c r="D53" s="453">
        <f>SUM(D47:D52)</f>
        <v>0</v>
      </c>
    </row>
    <row r="54" spans="1:4" s="22" customFormat="1" ht="17.100000000000001" customHeight="1" thickBot="1" x14ac:dyDescent="0.25">
      <c r="A54" s="3"/>
      <c r="B54" s="470" t="s">
        <v>245</v>
      </c>
      <c r="C54" s="469"/>
      <c r="D54" s="469"/>
    </row>
    <row r="55" spans="1:4" s="22" customFormat="1" ht="17.100000000000001" customHeight="1" thickBot="1" x14ac:dyDescent="0.25">
      <c r="A55" s="3"/>
      <c r="B55" s="455" t="s">
        <v>243</v>
      </c>
      <c r="C55" s="454">
        <f>D61</f>
        <v>-19754</v>
      </c>
      <c r="D55" s="453">
        <v>-12007</v>
      </c>
    </row>
    <row r="56" spans="1:4" s="22" customFormat="1" ht="17.100000000000001" customHeight="1" x14ac:dyDescent="0.2">
      <c r="A56" s="3"/>
      <c r="B56" s="465" t="s">
        <v>242</v>
      </c>
      <c r="C56" s="464">
        <v>-8119</v>
      </c>
      <c r="D56" s="463">
        <v>-8709</v>
      </c>
    </row>
    <row r="57" spans="1:4" s="22" customFormat="1" ht="17.100000000000001" customHeight="1" x14ac:dyDescent="0.2">
      <c r="A57" s="3"/>
      <c r="B57" s="462" t="s">
        <v>241</v>
      </c>
      <c r="C57" s="461">
        <v>0</v>
      </c>
      <c r="D57" s="460">
        <v>203</v>
      </c>
    </row>
    <row r="58" spans="1:4" s="22" customFormat="1" ht="17.100000000000001" customHeight="1" x14ac:dyDescent="0.2">
      <c r="A58" s="3"/>
      <c r="B58" s="459" t="s">
        <v>240</v>
      </c>
      <c r="C58" s="229">
        <v>0</v>
      </c>
      <c r="D58" s="228">
        <v>307</v>
      </c>
    </row>
    <row r="59" spans="1:4" s="22" customFormat="1" ht="17.100000000000001" customHeight="1" x14ac:dyDescent="0.2">
      <c r="A59" s="3"/>
      <c r="B59" s="459" t="s">
        <v>239</v>
      </c>
      <c r="C59" s="229">
        <v>8738</v>
      </c>
      <c r="D59" s="228">
        <v>0</v>
      </c>
    </row>
    <row r="60" spans="1:4" s="22" customFormat="1" ht="17.100000000000001" customHeight="1" thickBot="1" x14ac:dyDescent="0.25">
      <c r="A60" s="3"/>
      <c r="B60" s="458" t="s">
        <v>238</v>
      </c>
      <c r="C60" s="457">
        <v>0</v>
      </c>
      <c r="D60" s="456">
        <v>452</v>
      </c>
    </row>
    <row r="61" spans="1:4" s="22" customFormat="1" ht="17.100000000000001" customHeight="1" thickBot="1" x14ac:dyDescent="0.25">
      <c r="A61" s="3"/>
      <c r="B61" s="455" t="s">
        <v>237</v>
      </c>
      <c r="C61" s="454">
        <f>SUM(C55:C60)</f>
        <v>-19135</v>
      </c>
      <c r="D61" s="453">
        <f>SUM(D55:D60)</f>
        <v>-19754</v>
      </c>
    </row>
    <row r="62" spans="1:4" s="22" customFormat="1" ht="17.100000000000001" hidden="1" customHeight="1" thickBot="1" x14ac:dyDescent="0.25">
      <c r="A62" s="3"/>
      <c r="B62" s="468" t="s">
        <v>244</v>
      </c>
      <c r="C62" s="467"/>
      <c r="D62" s="466"/>
    </row>
    <row r="63" spans="1:4" s="22" customFormat="1" ht="17.100000000000001" hidden="1" customHeight="1" thickBot="1" x14ac:dyDescent="0.25">
      <c r="A63" s="3"/>
      <c r="B63" s="455" t="s">
        <v>243</v>
      </c>
      <c r="C63" s="454">
        <f>D69</f>
        <v>-19754</v>
      </c>
      <c r="D63" s="453">
        <f>D47+D55</f>
        <v>-12007</v>
      </c>
    </row>
    <row r="64" spans="1:4" s="22" customFormat="1" ht="17.100000000000001" hidden="1" customHeight="1" x14ac:dyDescent="0.2">
      <c r="A64" s="3"/>
      <c r="B64" s="465" t="s">
        <v>242</v>
      </c>
      <c r="C64" s="464">
        <v>-8119</v>
      </c>
      <c r="D64" s="463">
        <v>-8709</v>
      </c>
    </row>
    <row r="65" spans="1:4" s="22" customFormat="1" ht="17.100000000000001" hidden="1" customHeight="1" x14ac:dyDescent="0.2">
      <c r="A65" s="3"/>
      <c r="B65" s="462" t="s">
        <v>241</v>
      </c>
      <c r="C65" s="461">
        <v>0</v>
      </c>
      <c r="D65" s="460">
        <v>203</v>
      </c>
    </row>
    <row r="66" spans="1:4" s="22" customFormat="1" ht="17.100000000000001" hidden="1" customHeight="1" x14ac:dyDescent="0.2">
      <c r="A66" s="3"/>
      <c r="B66" s="459" t="s">
        <v>240</v>
      </c>
      <c r="C66" s="229">
        <v>0</v>
      </c>
      <c r="D66" s="228">
        <v>307</v>
      </c>
    </row>
    <row r="67" spans="1:4" s="22" customFormat="1" ht="17.100000000000001" hidden="1" customHeight="1" x14ac:dyDescent="0.2">
      <c r="A67" s="3"/>
      <c r="B67" s="459" t="s">
        <v>239</v>
      </c>
      <c r="C67" s="229">
        <v>8738</v>
      </c>
      <c r="D67" s="228">
        <v>0</v>
      </c>
    </row>
    <row r="68" spans="1:4" s="22" customFormat="1" ht="17.100000000000001" hidden="1" customHeight="1" thickBot="1" x14ac:dyDescent="0.25">
      <c r="A68" s="3"/>
      <c r="B68" s="458" t="s">
        <v>238</v>
      </c>
      <c r="C68" s="457">
        <v>0</v>
      </c>
      <c r="D68" s="456">
        <v>452</v>
      </c>
    </row>
    <row r="69" spans="1:4" s="22" customFormat="1" ht="17.100000000000001" hidden="1" customHeight="1" thickBot="1" x14ac:dyDescent="0.25">
      <c r="A69" s="3"/>
      <c r="B69" s="455" t="s">
        <v>237</v>
      </c>
      <c r="C69" s="454">
        <f>SUM(C63:C68)</f>
        <v>-19135</v>
      </c>
      <c r="D69" s="453">
        <f>SUM(D63:D68)</f>
        <v>-19754</v>
      </c>
    </row>
  </sheetData>
  <mergeCells count="1">
    <mergeCell ref="C2:D2"/>
  </mergeCells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3:D14"/>
  <sheetViews>
    <sheetView workbookViewId="0">
      <selection activeCell="D33" sqref="D33"/>
    </sheetView>
  </sheetViews>
  <sheetFormatPr defaultRowHeight="10.5" x14ac:dyDescent="0.15"/>
  <cols>
    <col min="1" max="1" width="2.28515625" style="3" customWidth="1"/>
    <col min="2" max="2" width="59.7109375" style="2" customWidth="1"/>
    <col min="3" max="4" width="15.7109375" style="2" customWidth="1"/>
    <col min="5" max="16384" width="9.140625" style="1"/>
  </cols>
  <sheetData>
    <row r="3" spans="2:4" ht="17.100000000000001" customHeight="1" x14ac:dyDescent="0.15">
      <c r="B3" s="522"/>
      <c r="C3" s="521" t="s">
        <v>5</v>
      </c>
      <c r="D3" s="520" t="s">
        <v>4</v>
      </c>
    </row>
    <row r="4" spans="2:4" ht="17.100000000000001" hidden="1" customHeight="1" x14ac:dyDescent="0.15">
      <c r="B4" s="519" t="s">
        <v>269</v>
      </c>
      <c r="C4" s="518">
        <v>0</v>
      </c>
      <c r="D4" s="517">
        <v>0</v>
      </c>
    </row>
    <row r="5" spans="2:4" ht="17.100000000000001" customHeight="1" x14ac:dyDescent="0.15">
      <c r="B5" s="516" t="s">
        <v>268</v>
      </c>
      <c r="C5" s="513">
        <v>3532</v>
      </c>
      <c r="D5" s="512">
        <v>3532</v>
      </c>
    </row>
    <row r="6" spans="2:4" ht="17.100000000000001" customHeight="1" x14ac:dyDescent="0.15">
      <c r="B6" s="514" t="s">
        <v>267</v>
      </c>
      <c r="C6" s="513">
        <v>347524</v>
      </c>
      <c r="D6" s="512">
        <v>347357</v>
      </c>
    </row>
    <row r="7" spans="2:4" ht="17.100000000000001" customHeight="1" x14ac:dyDescent="0.15">
      <c r="B7" s="515" t="s">
        <v>266</v>
      </c>
      <c r="C7" s="513">
        <v>268308</v>
      </c>
      <c r="D7" s="512">
        <v>249964</v>
      </c>
    </row>
    <row r="8" spans="2:4" ht="17.100000000000001" customHeight="1" x14ac:dyDescent="0.15">
      <c r="B8" s="514" t="s">
        <v>265</v>
      </c>
      <c r="C8" s="513">
        <v>4082</v>
      </c>
      <c r="D8" s="512">
        <v>5154</v>
      </c>
    </row>
    <row r="9" spans="2:4" ht="17.100000000000001" customHeight="1" thickBot="1" x14ac:dyDescent="0.2">
      <c r="B9" s="511" t="s">
        <v>264</v>
      </c>
      <c r="C9" s="510">
        <v>227525</v>
      </c>
      <c r="D9" s="509">
        <v>163006</v>
      </c>
    </row>
    <row r="10" spans="2:4" ht="17.100000000000001" customHeight="1" thickBot="1" x14ac:dyDescent="0.2">
      <c r="B10" s="455" t="s">
        <v>263</v>
      </c>
      <c r="C10" s="508">
        <f>SUM(C5:C6,C8:C9)</f>
        <v>582663</v>
      </c>
      <c r="D10" s="507">
        <f>SUM(D4:D6,D8:D9)</f>
        <v>519049</v>
      </c>
    </row>
    <row r="11" spans="2:4" x14ac:dyDescent="0.15">
      <c r="B11" s="506"/>
      <c r="C11" s="506"/>
      <c r="D11" s="506"/>
    </row>
    <row r="13" spans="2:4" x14ac:dyDescent="0.15">
      <c r="B13" s="5"/>
      <c r="C13" s="6"/>
      <c r="D13" s="6"/>
    </row>
    <row r="14" spans="2:4" x14ac:dyDescent="0.15">
      <c r="B14" s="5"/>
      <c r="C14" s="505"/>
      <c r="D14" s="505"/>
    </row>
  </sheetData>
  <pageMargins left="0.41" right="0.4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I531"/>
  <sheetViews>
    <sheetView zoomScaleNormal="100" workbookViewId="0">
      <selection activeCell="K14" sqref="K14"/>
    </sheetView>
  </sheetViews>
  <sheetFormatPr defaultRowHeight="10.5" x14ac:dyDescent="0.15"/>
  <cols>
    <col min="1" max="1" width="3.85546875" style="38" customWidth="1"/>
    <col min="2" max="2" width="47" style="525" bestFit="1" customWidth="1"/>
    <col min="3" max="3" width="15.28515625" style="524" customWidth="1"/>
    <col min="4" max="4" width="11.7109375" style="524" bestFit="1" customWidth="1"/>
    <col min="5" max="5" width="16.7109375" style="524" customWidth="1"/>
    <col min="6" max="6" width="13.28515625" style="524" customWidth="1"/>
    <col min="7" max="7" width="13.5703125" style="524" customWidth="1"/>
    <col min="8" max="8" width="12.42578125" style="38" bestFit="1" customWidth="1"/>
    <col min="9" max="9" width="14.42578125" style="523" customWidth="1"/>
    <col min="10" max="16384" width="9.140625" style="38"/>
  </cols>
  <sheetData>
    <row r="1" spans="2:9" ht="11.25" thickBot="1" x14ac:dyDescent="0.2"/>
    <row r="2" spans="2:9" ht="37.5" customHeight="1" thickBot="1" x14ac:dyDescent="0.2">
      <c r="B2" s="991" t="s">
        <v>308</v>
      </c>
      <c r="C2" s="993" t="s">
        <v>299</v>
      </c>
      <c r="D2" s="996" t="s">
        <v>298</v>
      </c>
      <c r="E2" s="996"/>
      <c r="F2" s="548" t="s">
        <v>297</v>
      </c>
      <c r="G2" s="995" t="s">
        <v>296</v>
      </c>
      <c r="H2" s="987" t="s">
        <v>295</v>
      </c>
      <c r="I2" s="989" t="s">
        <v>294</v>
      </c>
    </row>
    <row r="3" spans="2:9" ht="35.1" customHeight="1" x14ac:dyDescent="0.15">
      <c r="B3" s="992"/>
      <c r="C3" s="994"/>
      <c r="D3" s="546"/>
      <c r="E3" s="547" t="s">
        <v>293</v>
      </c>
      <c r="F3" s="546"/>
      <c r="G3" s="994"/>
      <c r="H3" s="988"/>
      <c r="I3" s="990"/>
    </row>
    <row r="4" spans="2:9" ht="30" customHeight="1" thickBot="1" x14ac:dyDescent="0.2">
      <c r="B4" s="545" t="s">
        <v>307</v>
      </c>
      <c r="C4" s="544">
        <f t="shared" ref="C4:H4" si="0">C54</f>
        <v>39</v>
      </c>
      <c r="D4" s="544">
        <f t="shared" si="0"/>
        <v>1028560</v>
      </c>
      <c r="E4" s="544">
        <f t="shared" si="0"/>
        <v>749173</v>
      </c>
      <c r="F4" s="544">
        <f t="shared" si="0"/>
        <v>22227</v>
      </c>
      <c r="G4" s="544">
        <f t="shared" si="0"/>
        <v>163006</v>
      </c>
      <c r="H4" s="544">
        <f t="shared" si="0"/>
        <v>4728</v>
      </c>
      <c r="I4" s="543">
        <f t="shared" ref="I4:I17" si="1">C4+D4+F4+G4+H4</f>
        <v>1218560</v>
      </c>
    </row>
    <row r="5" spans="2:9" ht="17.100000000000001" customHeight="1" thickBot="1" x14ac:dyDescent="0.2">
      <c r="B5" s="455" t="s">
        <v>291</v>
      </c>
      <c r="C5" s="256">
        <f t="shared" ref="C5:H5" si="2">SUM(C6:C11)</f>
        <v>0</v>
      </c>
      <c r="D5" s="256">
        <f t="shared" si="2"/>
        <v>143766</v>
      </c>
      <c r="E5" s="256">
        <f t="shared" si="2"/>
        <v>110240</v>
      </c>
      <c r="F5" s="256">
        <f t="shared" si="2"/>
        <v>10</v>
      </c>
      <c r="G5" s="256">
        <f t="shared" si="2"/>
        <v>185178</v>
      </c>
      <c r="H5" s="256">
        <f t="shared" si="2"/>
        <v>0</v>
      </c>
      <c r="I5" s="531">
        <f t="shared" si="1"/>
        <v>328954</v>
      </c>
    </row>
    <row r="6" spans="2:9" ht="15" customHeight="1" x14ac:dyDescent="0.15">
      <c r="B6" s="541" t="s">
        <v>290</v>
      </c>
      <c r="C6" s="540">
        <v>0</v>
      </c>
      <c r="D6" s="540">
        <v>11907</v>
      </c>
      <c r="E6" s="540">
        <v>2795</v>
      </c>
      <c r="F6" s="540">
        <v>8</v>
      </c>
      <c r="G6" s="540">
        <v>146113</v>
      </c>
      <c r="H6" s="540">
        <v>0</v>
      </c>
      <c r="I6" s="539">
        <f t="shared" si="1"/>
        <v>158028</v>
      </c>
    </row>
    <row r="7" spans="2:9" ht="15" hidden="1" customHeight="1" x14ac:dyDescent="0.15">
      <c r="B7" s="515" t="s">
        <v>289</v>
      </c>
      <c r="C7" s="262">
        <v>0</v>
      </c>
      <c r="D7" s="262">
        <v>0</v>
      </c>
      <c r="E7" s="262">
        <v>0</v>
      </c>
      <c r="F7" s="262">
        <v>0</v>
      </c>
      <c r="G7" s="262">
        <v>0</v>
      </c>
      <c r="H7" s="262">
        <v>0</v>
      </c>
      <c r="I7" s="538">
        <f t="shared" si="1"/>
        <v>0</v>
      </c>
    </row>
    <row r="8" spans="2:9" ht="15" customHeight="1" x14ac:dyDescent="0.15">
      <c r="B8" s="515" t="s">
        <v>288</v>
      </c>
      <c r="C8" s="262">
        <v>0</v>
      </c>
      <c r="D8" s="262">
        <v>102422</v>
      </c>
      <c r="E8" s="262">
        <v>89452</v>
      </c>
      <c r="F8" s="262">
        <v>2</v>
      </c>
      <c r="G8" s="262">
        <v>0</v>
      </c>
      <c r="H8" s="262">
        <v>0</v>
      </c>
      <c r="I8" s="538">
        <f t="shared" si="1"/>
        <v>102424</v>
      </c>
    </row>
    <row r="9" spans="2:9" ht="15" hidden="1" customHeight="1" x14ac:dyDescent="0.15">
      <c r="B9" s="515" t="s">
        <v>277</v>
      </c>
      <c r="C9" s="262">
        <v>0</v>
      </c>
      <c r="D9" s="262">
        <v>0</v>
      </c>
      <c r="E9" s="262">
        <v>0</v>
      </c>
      <c r="F9" s="262">
        <v>0</v>
      </c>
      <c r="G9" s="262">
        <v>0</v>
      </c>
      <c r="H9" s="262">
        <v>0</v>
      </c>
      <c r="I9" s="538">
        <f t="shared" si="1"/>
        <v>0</v>
      </c>
    </row>
    <row r="10" spans="2:9" ht="15" customHeight="1" x14ac:dyDescent="0.15">
      <c r="B10" s="515" t="s">
        <v>287</v>
      </c>
      <c r="C10" s="262">
        <v>0</v>
      </c>
      <c r="D10" s="262">
        <v>0</v>
      </c>
      <c r="E10" s="262">
        <v>0</v>
      </c>
      <c r="F10" s="262">
        <v>0</v>
      </c>
      <c r="G10" s="262">
        <v>23698</v>
      </c>
      <c r="H10" s="262">
        <v>0</v>
      </c>
      <c r="I10" s="538">
        <f t="shared" si="1"/>
        <v>23698</v>
      </c>
    </row>
    <row r="11" spans="2:9" ht="15" customHeight="1" thickBot="1" x14ac:dyDescent="0.2">
      <c r="B11" s="534" t="s">
        <v>280</v>
      </c>
      <c r="C11" s="533">
        <v>0</v>
      </c>
      <c r="D11" s="533">
        <v>29437</v>
      </c>
      <c r="E11" s="533">
        <v>17993</v>
      </c>
      <c r="F11" s="533">
        <v>0</v>
      </c>
      <c r="G11" s="533">
        <v>15367</v>
      </c>
      <c r="H11" s="533">
        <v>0</v>
      </c>
      <c r="I11" s="532">
        <f t="shared" si="1"/>
        <v>44804</v>
      </c>
    </row>
    <row r="12" spans="2:9" ht="17.100000000000001" customHeight="1" thickBot="1" x14ac:dyDescent="0.2">
      <c r="B12" s="455" t="s">
        <v>286</v>
      </c>
      <c r="C12" s="256">
        <f t="shared" ref="C12:H12" si="3">SUM(C13:C17)</f>
        <v>0</v>
      </c>
      <c r="D12" s="256">
        <f t="shared" si="3"/>
        <v>-55977</v>
      </c>
      <c r="E12" s="256">
        <f t="shared" si="3"/>
        <v>-55642</v>
      </c>
      <c r="F12" s="256">
        <f t="shared" si="3"/>
        <v>-403</v>
      </c>
      <c r="G12" s="256">
        <f t="shared" si="3"/>
        <v>-120659</v>
      </c>
      <c r="H12" s="256">
        <f t="shared" si="3"/>
        <v>0</v>
      </c>
      <c r="I12" s="531">
        <f t="shared" si="1"/>
        <v>-177039</v>
      </c>
    </row>
    <row r="13" spans="2:9" ht="15" hidden="1" customHeight="1" x14ac:dyDescent="0.15">
      <c r="B13" s="541" t="s">
        <v>279</v>
      </c>
      <c r="C13" s="540">
        <v>0</v>
      </c>
      <c r="D13" s="540">
        <v>0</v>
      </c>
      <c r="E13" s="540">
        <v>0</v>
      </c>
      <c r="F13" s="540">
        <v>0</v>
      </c>
      <c r="G13" s="540">
        <v>0</v>
      </c>
      <c r="H13" s="540">
        <v>0</v>
      </c>
      <c r="I13" s="542">
        <f t="shared" si="1"/>
        <v>0</v>
      </c>
    </row>
    <row r="14" spans="2:9" ht="15" customHeight="1" x14ac:dyDescent="0.15">
      <c r="B14" s="515" t="s">
        <v>278</v>
      </c>
      <c r="C14" s="262">
        <v>0</v>
      </c>
      <c r="D14" s="262">
        <v>-28805</v>
      </c>
      <c r="E14" s="262">
        <v>-28513</v>
      </c>
      <c r="F14" s="262">
        <v>-403</v>
      </c>
      <c r="G14" s="262">
        <v>0</v>
      </c>
      <c r="H14" s="262">
        <v>0</v>
      </c>
      <c r="I14" s="538">
        <f t="shared" si="1"/>
        <v>-29208</v>
      </c>
    </row>
    <row r="15" spans="2:9" ht="21" x14ac:dyDescent="0.15">
      <c r="B15" s="515" t="s">
        <v>285</v>
      </c>
      <c r="C15" s="262">
        <v>0</v>
      </c>
      <c r="D15" s="262">
        <v>0</v>
      </c>
      <c r="E15" s="262">
        <v>0</v>
      </c>
      <c r="F15" s="262">
        <v>0</v>
      </c>
      <c r="G15" s="262">
        <v>-102424</v>
      </c>
      <c r="H15" s="262">
        <v>0</v>
      </c>
      <c r="I15" s="538">
        <f t="shared" si="1"/>
        <v>-102424</v>
      </c>
    </row>
    <row r="16" spans="2:9" ht="15" hidden="1" customHeight="1" x14ac:dyDescent="0.15">
      <c r="B16" s="515" t="s">
        <v>277</v>
      </c>
      <c r="C16" s="262">
        <v>0</v>
      </c>
      <c r="D16" s="262">
        <v>0</v>
      </c>
      <c r="E16" s="262">
        <v>0</v>
      </c>
      <c r="F16" s="262">
        <v>0</v>
      </c>
      <c r="G16" s="262">
        <v>0</v>
      </c>
      <c r="H16" s="262">
        <v>0</v>
      </c>
      <c r="I16" s="538">
        <f t="shared" si="1"/>
        <v>0</v>
      </c>
    </row>
    <row r="17" spans="2:9" ht="15" customHeight="1" thickBot="1" x14ac:dyDescent="0.2">
      <c r="B17" s="534" t="s">
        <v>276</v>
      </c>
      <c r="C17" s="533">
        <v>0</v>
      </c>
      <c r="D17" s="533">
        <v>-27172</v>
      </c>
      <c r="E17" s="533">
        <v>-27129</v>
      </c>
      <c r="F17" s="533">
        <v>0</v>
      </c>
      <c r="G17" s="533">
        <v>-18235</v>
      </c>
      <c r="H17" s="533">
        <v>0</v>
      </c>
      <c r="I17" s="532">
        <f t="shared" si="1"/>
        <v>-45407</v>
      </c>
    </row>
    <row r="18" spans="2:9" ht="30" customHeight="1" thickBot="1" x14ac:dyDescent="0.2">
      <c r="B18" s="455" t="s">
        <v>306</v>
      </c>
      <c r="C18" s="256">
        <f t="shared" ref="C18:I18" si="4">C4+C5+C12</f>
        <v>39</v>
      </c>
      <c r="D18" s="256">
        <f t="shared" si="4"/>
        <v>1116349</v>
      </c>
      <c r="E18" s="256">
        <f t="shared" si="4"/>
        <v>803771</v>
      </c>
      <c r="F18" s="256">
        <f t="shared" si="4"/>
        <v>21834</v>
      </c>
      <c r="G18" s="256">
        <f t="shared" si="4"/>
        <v>227525</v>
      </c>
      <c r="H18" s="256">
        <f t="shared" si="4"/>
        <v>4728</v>
      </c>
      <c r="I18" s="531">
        <f t="shared" si="4"/>
        <v>1370475</v>
      </c>
    </row>
    <row r="19" spans="2:9" ht="30" customHeight="1" thickBot="1" x14ac:dyDescent="0.2">
      <c r="B19" s="455" t="s">
        <v>305</v>
      </c>
      <c r="C19" s="256">
        <f t="shared" ref="C19:H19" si="5">C64</f>
        <v>-39</v>
      </c>
      <c r="D19" s="256">
        <f t="shared" si="5"/>
        <v>-681193</v>
      </c>
      <c r="E19" s="256">
        <f t="shared" si="5"/>
        <v>-499209</v>
      </c>
      <c r="F19" s="256">
        <f t="shared" si="5"/>
        <v>-17073</v>
      </c>
      <c r="G19" s="256">
        <f t="shared" si="5"/>
        <v>0</v>
      </c>
      <c r="H19" s="256">
        <f t="shared" si="5"/>
        <v>0</v>
      </c>
      <c r="I19" s="531">
        <f t="shared" ref="I19:I27" si="6">C19+D19+F19+G19+H19</f>
        <v>-698305</v>
      </c>
    </row>
    <row r="20" spans="2:9" ht="17.100000000000001" customHeight="1" thickBot="1" x14ac:dyDescent="0.2">
      <c r="B20" s="455" t="s">
        <v>282</v>
      </c>
      <c r="C20" s="256">
        <f t="shared" ref="C20:H20" si="7">SUM(C21:C27)</f>
        <v>0</v>
      </c>
      <c r="D20" s="256">
        <f t="shared" si="7"/>
        <v>-87632</v>
      </c>
      <c r="E20" s="256">
        <f t="shared" si="7"/>
        <v>-36254</v>
      </c>
      <c r="F20" s="256">
        <f t="shared" si="7"/>
        <v>-679</v>
      </c>
      <c r="G20" s="256">
        <f t="shared" si="7"/>
        <v>0</v>
      </c>
      <c r="H20" s="256">
        <f t="shared" si="7"/>
        <v>0</v>
      </c>
      <c r="I20" s="531">
        <f t="shared" si="6"/>
        <v>-88311</v>
      </c>
    </row>
    <row r="21" spans="2:9" ht="15" customHeight="1" x14ac:dyDescent="0.15">
      <c r="B21" s="541" t="s">
        <v>281</v>
      </c>
      <c r="C21" s="540">
        <v>0</v>
      </c>
      <c r="D21" s="540">
        <v>-115833</v>
      </c>
      <c r="E21" s="540">
        <v>-73971</v>
      </c>
      <c r="F21" s="540">
        <v>-1082</v>
      </c>
      <c r="G21" s="540">
        <v>0</v>
      </c>
      <c r="H21" s="540">
        <v>0</v>
      </c>
      <c r="I21" s="539">
        <f t="shared" si="6"/>
        <v>-116915</v>
      </c>
    </row>
    <row r="22" spans="2:9" ht="15" hidden="1" customHeight="1" x14ac:dyDescent="0.15">
      <c r="B22" s="515" t="s">
        <v>277</v>
      </c>
      <c r="C22" s="262">
        <v>0</v>
      </c>
      <c r="D22" s="262">
        <v>0</v>
      </c>
      <c r="E22" s="262">
        <v>0</v>
      </c>
      <c r="F22" s="262">
        <v>0</v>
      </c>
      <c r="G22" s="262">
        <v>0</v>
      </c>
      <c r="H22" s="262">
        <v>0</v>
      </c>
      <c r="I22" s="538">
        <f t="shared" si="6"/>
        <v>0</v>
      </c>
    </row>
    <row r="23" spans="2:9" ht="15" customHeight="1" x14ac:dyDescent="0.15">
      <c r="B23" s="515" t="s">
        <v>280</v>
      </c>
      <c r="C23" s="262">
        <v>0</v>
      </c>
      <c r="D23" s="262">
        <v>-20998</v>
      </c>
      <c r="E23" s="262">
        <v>-11162</v>
      </c>
      <c r="F23" s="262">
        <v>0</v>
      </c>
      <c r="G23" s="262">
        <v>0</v>
      </c>
      <c r="H23" s="262">
        <v>0</v>
      </c>
      <c r="I23" s="538">
        <f t="shared" si="6"/>
        <v>-20998</v>
      </c>
    </row>
    <row r="24" spans="2:9" ht="17.100000000000001" hidden="1" customHeight="1" x14ac:dyDescent="0.15">
      <c r="B24" s="515" t="s">
        <v>279</v>
      </c>
      <c r="C24" s="262">
        <v>0</v>
      </c>
      <c r="D24" s="262">
        <v>0</v>
      </c>
      <c r="E24" s="262">
        <v>0</v>
      </c>
      <c r="F24" s="262">
        <v>0</v>
      </c>
      <c r="G24" s="262">
        <v>0</v>
      </c>
      <c r="H24" s="262">
        <v>0</v>
      </c>
      <c r="I24" s="538">
        <f t="shared" si="6"/>
        <v>0</v>
      </c>
    </row>
    <row r="25" spans="2:9" ht="15" customHeight="1" x14ac:dyDescent="0.15">
      <c r="B25" s="515" t="s">
        <v>278</v>
      </c>
      <c r="C25" s="262">
        <v>0</v>
      </c>
      <c r="D25" s="262">
        <v>28805</v>
      </c>
      <c r="E25" s="262">
        <v>28513</v>
      </c>
      <c r="F25" s="262">
        <v>403</v>
      </c>
      <c r="G25" s="262">
        <v>0</v>
      </c>
      <c r="H25" s="262">
        <v>0</v>
      </c>
      <c r="I25" s="538">
        <f t="shared" si="6"/>
        <v>29208</v>
      </c>
    </row>
    <row r="26" spans="2:9" ht="15" hidden="1" customHeight="1" x14ac:dyDescent="0.15">
      <c r="B26" s="515" t="s">
        <v>277</v>
      </c>
      <c r="C26" s="262">
        <v>0</v>
      </c>
      <c r="D26" s="262">
        <v>0</v>
      </c>
      <c r="E26" s="262">
        <v>0</v>
      </c>
      <c r="F26" s="262">
        <v>0</v>
      </c>
      <c r="G26" s="262">
        <v>0</v>
      </c>
      <c r="H26" s="262">
        <v>0</v>
      </c>
      <c r="I26" s="538">
        <f t="shared" si="6"/>
        <v>0</v>
      </c>
    </row>
    <row r="27" spans="2:9" ht="15" customHeight="1" thickBot="1" x14ac:dyDescent="0.2">
      <c r="B27" s="534" t="s">
        <v>276</v>
      </c>
      <c r="C27" s="533">
        <v>0</v>
      </c>
      <c r="D27" s="533">
        <v>20394</v>
      </c>
      <c r="E27" s="533">
        <v>20366</v>
      </c>
      <c r="F27" s="533">
        <v>0</v>
      </c>
      <c r="G27" s="533">
        <v>0</v>
      </c>
      <c r="H27" s="533">
        <v>0</v>
      </c>
      <c r="I27" s="532">
        <f t="shared" si="6"/>
        <v>20394</v>
      </c>
    </row>
    <row r="28" spans="2:9" ht="30" customHeight="1" thickBot="1" x14ac:dyDescent="0.2">
      <c r="B28" s="455" t="s">
        <v>304</v>
      </c>
      <c r="C28" s="256">
        <f t="shared" ref="C28:I28" si="8">C19+C20</f>
        <v>-39</v>
      </c>
      <c r="D28" s="256">
        <f t="shared" si="8"/>
        <v>-768825</v>
      </c>
      <c r="E28" s="256">
        <f t="shared" si="8"/>
        <v>-535463</v>
      </c>
      <c r="F28" s="256">
        <f t="shared" si="8"/>
        <v>-17752</v>
      </c>
      <c r="G28" s="256">
        <f t="shared" si="8"/>
        <v>0</v>
      </c>
      <c r="H28" s="256">
        <f t="shared" si="8"/>
        <v>0</v>
      </c>
      <c r="I28" s="531">
        <f t="shared" si="8"/>
        <v>-786616</v>
      </c>
    </row>
    <row r="29" spans="2:9" ht="30" customHeight="1" thickBot="1" x14ac:dyDescent="0.2">
      <c r="B29" s="455" t="s">
        <v>303</v>
      </c>
      <c r="C29" s="256">
        <f t="shared" ref="C29:H29" si="9">C68</f>
        <v>0</v>
      </c>
      <c r="D29" s="256">
        <f t="shared" si="9"/>
        <v>-10</v>
      </c>
      <c r="E29" s="256">
        <f t="shared" si="9"/>
        <v>0</v>
      </c>
      <c r="F29" s="256">
        <f t="shared" si="9"/>
        <v>0</v>
      </c>
      <c r="G29" s="256">
        <f t="shared" si="9"/>
        <v>0</v>
      </c>
      <c r="H29" s="256">
        <f t="shared" si="9"/>
        <v>-1196</v>
      </c>
      <c r="I29" s="531">
        <f>C29+D29+F29+G29+H29</f>
        <v>-1206</v>
      </c>
    </row>
    <row r="30" spans="2:9" ht="15" hidden="1" customHeight="1" x14ac:dyDescent="0.15">
      <c r="B30" s="537" t="s">
        <v>273</v>
      </c>
      <c r="C30" s="536">
        <v>0</v>
      </c>
      <c r="D30" s="536">
        <v>0</v>
      </c>
      <c r="E30" s="536">
        <v>0</v>
      </c>
      <c r="F30" s="536">
        <v>0</v>
      </c>
      <c r="G30" s="536">
        <v>0</v>
      </c>
      <c r="H30" s="536">
        <v>0</v>
      </c>
      <c r="I30" s="535">
        <f>C30+D30+F30+G30+H30</f>
        <v>0</v>
      </c>
    </row>
    <row r="31" spans="2:9" ht="15" customHeight="1" thickBot="1" x14ac:dyDescent="0.2">
      <c r="B31" s="534" t="s">
        <v>272</v>
      </c>
      <c r="C31" s="533">
        <v>0</v>
      </c>
      <c r="D31" s="533">
        <v>10</v>
      </c>
      <c r="E31" s="533">
        <v>0</v>
      </c>
      <c r="F31" s="533">
        <v>0</v>
      </c>
      <c r="G31" s="533">
        <v>0</v>
      </c>
      <c r="H31" s="533">
        <v>0</v>
      </c>
      <c r="I31" s="532">
        <f>C31+D31+F31+G31+H31</f>
        <v>10</v>
      </c>
    </row>
    <row r="32" spans="2:9" ht="30" customHeight="1" thickBot="1" x14ac:dyDescent="0.2">
      <c r="B32" s="455" t="s">
        <v>302</v>
      </c>
      <c r="C32" s="256">
        <f t="shared" ref="C32:H32" si="10">SUM(C29:C31)</f>
        <v>0</v>
      </c>
      <c r="D32" s="256">
        <f t="shared" si="10"/>
        <v>0</v>
      </c>
      <c r="E32" s="256">
        <f t="shared" si="10"/>
        <v>0</v>
      </c>
      <c r="F32" s="256">
        <f t="shared" si="10"/>
        <v>0</v>
      </c>
      <c r="G32" s="256">
        <f t="shared" si="10"/>
        <v>0</v>
      </c>
      <c r="H32" s="256">
        <f t="shared" si="10"/>
        <v>-1196</v>
      </c>
      <c r="I32" s="531">
        <f>SUM(C32:H32)</f>
        <v>-1196</v>
      </c>
    </row>
    <row r="33" spans="2:9" ht="30" customHeight="1" thickBot="1" x14ac:dyDescent="0.2">
      <c r="B33" s="455" t="s">
        <v>301</v>
      </c>
      <c r="C33" s="256">
        <f t="shared" ref="C33:I33" si="11">C18+C28+C32</f>
        <v>0</v>
      </c>
      <c r="D33" s="256">
        <f t="shared" si="11"/>
        <v>347524</v>
      </c>
      <c r="E33" s="256">
        <f t="shared" si="11"/>
        <v>268308</v>
      </c>
      <c r="F33" s="256">
        <f t="shared" si="11"/>
        <v>4082</v>
      </c>
      <c r="G33" s="256">
        <f t="shared" si="11"/>
        <v>227525</v>
      </c>
      <c r="H33" s="256">
        <f t="shared" si="11"/>
        <v>3532</v>
      </c>
      <c r="I33" s="531">
        <f t="shared" si="11"/>
        <v>582663</v>
      </c>
    </row>
    <row r="36" spans="2:9" x14ac:dyDescent="0.15">
      <c r="B36" s="530"/>
      <c r="C36" s="529"/>
      <c r="D36" s="529"/>
      <c r="E36" s="529"/>
      <c r="F36" s="529"/>
      <c r="G36" s="529"/>
      <c r="H36" s="529"/>
      <c r="I36" s="528"/>
    </row>
    <row r="37" spans="2:9" ht="11.25" thickBot="1" x14ac:dyDescent="0.2"/>
    <row r="38" spans="2:9" ht="37.5" customHeight="1" thickBot="1" x14ac:dyDescent="0.2">
      <c r="B38" s="991" t="s">
        <v>300</v>
      </c>
      <c r="C38" s="993" t="s">
        <v>299</v>
      </c>
      <c r="D38" s="996" t="s">
        <v>298</v>
      </c>
      <c r="E38" s="996"/>
      <c r="F38" s="548" t="s">
        <v>297</v>
      </c>
      <c r="G38" s="995" t="s">
        <v>296</v>
      </c>
      <c r="H38" s="987" t="s">
        <v>295</v>
      </c>
      <c r="I38" s="989" t="s">
        <v>294</v>
      </c>
    </row>
    <row r="39" spans="2:9" ht="48" customHeight="1" x14ac:dyDescent="0.15">
      <c r="B39" s="992"/>
      <c r="C39" s="994"/>
      <c r="D39" s="546"/>
      <c r="E39" s="547" t="s">
        <v>293</v>
      </c>
      <c r="F39" s="546"/>
      <c r="G39" s="994"/>
      <c r="H39" s="988"/>
      <c r="I39" s="990"/>
    </row>
    <row r="40" spans="2:9" ht="30" customHeight="1" thickBot="1" x14ac:dyDescent="0.2">
      <c r="B40" s="545" t="s">
        <v>292</v>
      </c>
      <c r="C40" s="544">
        <v>224</v>
      </c>
      <c r="D40" s="544">
        <v>986375</v>
      </c>
      <c r="E40" s="544">
        <v>747854</v>
      </c>
      <c r="F40" s="544">
        <v>22370</v>
      </c>
      <c r="G40" s="544">
        <v>94601</v>
      </c>
      <c r="H40" s="544">
        <v>4728</v>
      </c>
      <c r="I40" s="543">
        <f t="shared" ref="I40:I53" si="12">C40+D40+F40+G40+H40</f>
        <v>1108298</v>
      </c>
    </row>
    <row r="41" spans="2:9" ht="17.100000000000001" customHeight="1" thickBot="1" x14ac:dyDescent="0.2">
      <c r="B41" s="455" t="s">
        <v>291</v>
      </c>
      <c r="C41" s="256">
        <f t="shared" ref="C41:H41" si="13">SUM(C42:C47)</f>
        <v>0</v>
      </c>
      <c r="D41" s="256">
        <f t="shared" si="13"/>
        <v>90885</v>
      </c>
      <c r="E41" s="256">
        <f t="shared" si="13"/>
        <v>37916</v>
      </c>
      <c r="F41" s="256">
        <f t="shared" si="13"/>
        <v>7</v>
      </c>
      <c r="G41" s="256">
        <f t="shared" si="13"/>
        <v>122047</v>
      </c>
      <c r="H41" s="256">
        <f t="shared" si="13"/>
        <v>0</v>
      </c>
      <c r="I41" s="531">
        <f t="shared" si="12"/>
        <v>212939</v>
      </c>
    </row>
    <row r="42" spans="2:9" ht="15" customHeight="1" x14ac:dyDescent="0.15">
      <c r="B42" s="541" t="s">
        <v>290</v>
      </c>
      <c r="C42" s="540">
        <v>0</v>
      </c>
      <c r="D42" s="540">
        <v>38620</v>
      </c>
      <c r="E42" s="540">
        <v>4489</v>
      </c>
      <c r="F42" s="540">
        <v>2</v>
      </c>
      <c r="G42" s="540">
        <v>93172</v>
      </c>
      <c r="H42" s="540">
        <v>0</v>
      </c>
      <c r="I42" s="539">
        <f t="shared" si="12"/>
        <v>131794</v>
      </c>
    </row>
    <row r="43" spans="2:9" ht="15" hidden="1" customHeight="1" x14ac:dyDescent="0.15">
      <c r="B43" s="515" t="s">
        <v>289</v>
      </c>
      <c r="C43" s="262">
        <v>0</v>
      </c>
      <c r="D43" s="262">
        <v>0</v>
      </c>
      <c r="E43" s="262">
        <v>0</v>
      </c>
      <c r="F43" s="262">
        <v>0</v>
      </c>
      <c r="G43" s="262">
        <v>0</v>
      </c>
      <c r="H43" s="262">
        <v>0</v>
      </c>
      <c r="I43" s="538">
        <f t="shared" si="12"/>
        <v>0</v>
      </c>
    </row>
    <row r="44" spans="2:9" ht="15" customHeight="1" x14ac:dyDescent="0.15">
      <c r="B44" s="515" t="s">
        <v>288</v>
      </c>
      <c r="C44" s="262">
        <v>0</v>
      </c>
      <c r="D44" s="262">
        <v>39325</v>
      </c>
      <c r="E44" s="262">
        <v>20583</v>
      </c>
      <c r="F44" s="262">
        <v>5</v>
      </c>
      <c r="G44" s="262">
        <v>0</v>
      </c>
      <c r="H44" s="262">
        <v>0</v>
      </c>
      <c r="I44" s="538">
        <f t="shared" si="12"/>
        <v>39330</v>
      </c>
    </row>
    <row r="45" spans="2:9" ht="15" hidden="1" customHeight="1" x14ac:dyDescent="0.15">
      <c r="B45" s="515" t="s">
        <v>277</v>
      </c>
      <c r="C45" s="262"/>
      <c r="D45" s="262"/>
      <c r="E45" s="262"/>
      <c r="F45" s="262"/>
      <c r="G45" s="262"/>
      <c r="H45" s="262"/>
      <c r="I45" s="538">
        <f t="shared" si="12"/>
        <v>0</v>
      </c>
    </row>
    <row r="46" spans="2:9" ht="15" customHeight="1" x14ac:dyDescent="0.15">
      <c r="B46" s="515" t="s">
        <v>287</v>
      </c>
      <c r="C46" s="262">
        <v>0</v>
      </c>
      <c r="D46" s="262">
        <v>0</v>
      </c>
      <c r="E46" s="262">
        <v>0</v>
      </c>
      <c r="F46" s="262">
        <v>0</v>
      </c>
      <c r="G46" s="262">
        <v>20376</v>
      </c>
      <c r="H46" s="262">
        <v>0</v>
      </c>
      <c r="I46" s="538">
        <f t="shared" si="12"/>
        <v>20376</v>
      </c>
    </row>
    <row r="47" spans="2:9" ht="15" customHeight="1" thickBot="1" x14ac:dyDescent="0.2">
      <c r="B47" s="534" t="s">
        <v>280</v>
      </c>
      <c r="C47" s="533">
        <v>0</v>
      </c>
      <c r="D47" s="533">
        <v>12940</v>
      </c>
      <c r="E47" s="533">
        <v>12844</v>
      </c>
      <c r="F47" s="533">
        <v>0</v>
      </c>
      <c r="G47" s="533">
        <v>8499</v>
      </c>
      <c r="H47" s="533">
        <v>0</v>
      </c>
      <c r="I47" s="532">
        <f t="shared" si="12"/>
        <v>21439</v>
      </c>
    </row>
    <row r="48" spans="2:9" ht="17.100000000000001" customHeight="1" thickBot="1" x14ac:dyDescent="0.2">
      <c r="B48" s="455" t="s">
        <v>286</v>
      </c>
      <c r="C48" s="256">
        <f t="shared" ref="C48:H48" si="14">SUM(C49:C53)</f>
        <v>-185</v>
      </c>
      <c r="D48" s="256">
        <f t="shared" si="14"/>
        <v>-48700</v>
      </c>
      <c r="E48" s="256">
        <f t="shared" si="14"/>
        <v>-36597</v>
      </c>
      <c r="F48" s="256">
        <f t="shared" si="14"/>
        <v>-150</v>
      </c>
      <c r="G48" s="256">
        <f t="shared" si="14"/>
        <v>-53642</v>
      </c>
      <c r="H48" s="256">
        <f t="shared" si="14"/>
        <v>0</v>
      </c>
      <c r="I48" s="531">
        <f t="shared" si="12"/>
        <v>-102677</v>
      </c>
    </row>
    <row r="49" spans="2:9" ht="15" hidden="1" customHeight="1" x14ac:dyDescent="0.15">
      <c r="B49" s="541" t="s">
        <v>279</v>
      </c>
      <c r="C49" s="540">
        <v>0</v>
      </c>
      <c r="D49" s="540">
        <v>0</v>
      </c>
      <c r="E49" s="540">
        <v>0</v>
      </c>
      <c r="F49" s="540">
        <v>0</v>
      </c>
      <c r="G49" s="540">
        <v>0</v>
      </c>
      <c r="H49" s="540">
        <v>0</v>
      </c>
      <c r="I49" s="542">
        <f t="shared" si="12"/>
        <v>0</v>
      </c>
    </row>
    <row r="50" spans="2:9" ht="15" customHeight="1" x14ac:dyDescent="0.15">
      <c r="B50" s="515" t="s">
        <v>278</v>
      </c>
      <c r="C50" s="262">
        <v>-185</v>
      </c>
      <c r="D50" s="262">
        <v>-36995</v>
      </c>
      <c r="E50" s="262">
        <v>-36597</v>
      </c>
      <c r="F50" s="262">
        <v>0</v>
      </c>
      <c r="G50" s="262">
        <v>0</v>
      </c>
      <c r="H50" s="262">
        <v>0</v>
      </c>
      <c r="I50" s="538">
        <f t="shared" si="12"/>
        <v>-37180</v>
      </c>
    </row>
    <row r="51" spans="2:9" ht="15" customHeight="1" x14ac:dyDescent="0.15">
      <c r="B51" s="515" t="s">
        <v>285</v>
      </c>
      <c r="C51" s="262">
        <v>0</v>
      </c>
      <c r="D51" s="262">
        <v>0</v>
      </c>
      <c r="E51" s="262">
        <v>0</v>
      </c>
      <c r="F51" s="262">
        <v>0</v>
      </c>
      <c r="G51" s="262">
        <v>-39330</v>
      </c>
      <c r="H51" s="262">
        <v>0</v>
      </c>
      <c r="I51" s="538">
        <f t="shared" si="12"/>
        <v>-39330</v>
      </c>
    </row>
    <row r="52" spans="2:9" ht="15" hidden="1" customHeight="1" x14ac:dyDescent="0.15">
      <c r="B52" s="515" t="s">
        <v>277</v>
      </c>
      <c r="C52" s="262"/>
      <c r="D52" s="262"/>
      <c r="E52" s="262"/>
      <c r="F52" s="262"/>
      <c r="G52" s="262"/>
      <c r="H52" s="262"/>
      <c r="I52" s="538">
        <f t="shared" si="12"/>
        <v>0</v>
      </c>
    </row>
    <row r="53" spans="2:9" ht="15" customHeight="1" thickBot="1" x14ac:dyDescent="0.2">
      <c r="B53" s="534" t="s">
        <v>276</v>
      </c>
      <c r="C53" s="533">
        <v>0</v>
      </c>
      <c r="D53" s="533">
        <v>-11705</v>
      </c>
      <c r="E53" s="533">
        <v>0</v>
      </c>
      <c r="F53" s="533">
        <v>-150</v>
      </c>
      <c r="G53" s="533">
        <v>-14312</v>
      </c>
      <c r="H53" s="533">
        <v>0</v>
      </c>
      <c r="I53" s="532">
        <f t="shared" si="12"/>
        <v>-26167</v>
      </c>
    </row>
    <row r="54" spans="2:9" ht="30" customHeight="1" thickBot="1" x14ac:dyDescent="0.2">
      <c r="B54" s="455" t="s">
        <v>284</v>
      </c>
      <c r="C54" s="256">
        <f t="shared" ref="C54:I54" si="15">C40+C41+C48</f>
        <v>39</v>
      </c>
      <c r="D54" s="256">
        <f t="shared" si="15"/>
        <v>1028560</v>
      </c>
      <c r="E54" s="256">
        <f t="shared" si="15"/>
        <v>749173</v>
      </c>
      <c r="F54" s="256">
        <f t="shared" si="15"/>
        <v>22227</v>
      </c>
      <c r="G54" s="256">
        <f t="shared" si="15"/>
        <v>163006</v>
      </c>
      <c r="H54" s="256">
        <f t="shared" si="15"/>
        <v>4728</v>
      </c>
      <c r="I54" s="531">
        <f t="shared" si="15"/>
        <v>1218560</v>
      </c>
    </row>
    <row r="55" spans="2:9" ht="30" customHeight="1" thickBot="1" x14ac:dyDescent="0.2">
      <c r="B55" s="455" t="s">
        <v>283</v>
      </c>
      <c r="C55" s="256">
        <v>-223</v>
      </c>
      <c r="D55" s="256">
        <v>-625151</v>
      </c>
      <c r="E55" s="256">
        <v>-478180</v>
      </c>
      <c r="F55" s="256">
        <v>-16092</v>
      </c>
      <c r="G55" s="256">
        <v>0</v>
      </c>
      <c r="H55" s="256">
        <v>0</v>
      </c>
      <c r="I55" s="531">
        <f t="shared" ref="I55:I63" si="16">C55+D55+F55+G55+H55</f>
        <v>-641466</v>
      </c>
    </row>
    <row r="56" spans="2:9" ht="17.100000000000001" customHeight="1" thickBot="1" x14ac:dyDescent="0.2">
      <c r="B56" s="455" t="s">
        <v>282</v>
      </c>
      <c r="C56" s="256">
        <f t="shared" ref="C56:H56" si="17">SUM(C57:C63)</f>
        <v>184</v>
      </c>
      <c r="D56" s="256">
        <f t="shared" si="17"/>
        <v>-56042</v>
      </c>
      <c r="E56" s="256">
        <f t="shared" si="17"/>
        <v>-21029</v>
      </c>
      <c r="F56" s="256">
        <f t="shared" si="17"/>
        <v>-981</v>
      </c>
      <c r="G56" s="256">
        <f t="shared" si="17"/>
        <v>0</v>
      </c>
      <c r="H56" s="256">
        <f t="shared" si="17"/>
        <v>0</v>
      </c>
      <c r="I56" s="531">
        <f t="shared" si="16"/>
        <v>-56839</v>
      </c>
    </row>
    <row r="57" spans="2:9" ht="15" customHeight="1" x14ac:dyDescent="0.15">
      <c r="B57" s="541" t="s">
        <v>281</v>
      </c>
      <c r="C57" s="540">
        <v>-1</v>
      </c>
      <c r="D57" s="540">
        <v>-92840</v>
      </c>
      <c r="E57" s="540">
        <v>-57397</v>
      </c>
      <c r="F57" s="540">
        <v>-1131</v>
      </c>
      <c r="G57" s="540">
        <v>0</v>
      </c>
      <c r="H57" s="540">
        <v>0</v>
      </c>
      <c r="I57" s="539">
        <f t="shared" si="16"/>
        <v>-93972</v>
      </c>
    </row>
    <row r="58" spans="2:9" ht="15" hidden="1" customHeight="1" x14ac:dyDescent="0.15">
      <c r="B58" s="515" t="s">
        <v>277</v>
      </c>
      <c r="C58" s="262"/>
      <c r="D58" s="262"/>
      <c r="E58" s="262"/>
      <c r="F58" s="262"/>
      <c r="G58" s="262"/>
      <c r="H58" s="262"/>
      <c r="I58" s="538">
        <f t="shared" si="16"/>
        <v>0</v>
      </c>
    </row>
    <row r="59" spans="2:9" ht="15" customHeight="1" x14ac:dyDescent="0.15">
      <c r="B59" s="515" t="s">
        <v>280</v>
      </c>
      <c r="C59" s="262">
        <v>0</v>
      </c>
      <c r="D59" s="262">
        <v>-41</v>
      </c>
      <c r="E59" s="262">
        <v>-25</v>
      </c>
      <c r="F59" s="262">
        <v>150</v>
      </c>
      <c r="G59" s="262">
        <v>0</v>
      </c>
      <c r="H59" s="262">
        <v>0</v>
      </c>
      <c r="I59" s="538">
        <f t="shared" si="16"/>
        <v>109</v>
      </c>
    </row>
    <row r="60" spans="2:9" ht="15" hidden="1" customHeight="1" x14ac:dyDescent="0.15">
      <c r="B60" s="515" t="s">
        <v>279</v>
      </c>
      <c r="C60" s="262">
        <v>0</v>
      </c>
      <c r="D60" s="262">
        <v>0</v>
      </c>
      <c r="E60" s="262">
        <v>0</v>
      </c>
      <c r="F60" s="262">
        <v>0</v>
      </c>
      <c r="G60" s="262">
        <v>0</v>
      </c>
      <c r="H60" s="262">
        <v>0</v>
      </c>
      <c r="I60" s="538">
        <f t="shared" si="16"/>
        <v>0</v>
      </c>
    </row>
    <row r="61" spans="2:9" ht="15" customHeight="1" x14ac:dyDescent="0.15">
      <c r="B61" s="515" t="s">
        <v>278</v>
      </c>
      <c r="C61" s="262">
        <v>185</v>
      </c>
      <c r="D61" s="262">
        <v>36989</v>
      </c>
      <c r="E61" s="262">
        <v>36591</v>
      </c>
      <c r="F61" s="262">
        <v>0</v>
      </c>
      <c r="G61" s="262">
        <v>0</v>
      </c>
      <c r="H61" s="262">
        <v>0</v>
      </c>
      <c r="I61" s="538">
        <f t="shared" si="16"/>
        <v>37174</v>
      </c>
    </row>
    <row r="62" spans="2:9" ht="15" hidden="1" customHeight="1" x14ac:dyDescent="0.15">
      <c r="B62" s="515" t="s">
        <v>277</v>
      </c>
      <c r="C62" s="262"/>
      <c r="D62" s="262"/>
      <c r="E62" s="262"/>
      <c r="F62" s="262"/>
      <c r="G62" s="262"/>
      <c r="H62" s="262"/>
      <c r="I62" s="538">
        <f t="shared" si="16"/>
        <v>0</v>
      </c>
    </row>
    <row r="63" spans="2:9" ht="15" customHeight="1" thickBot="1" x14ac:dyDescent="0.2">
      <c r="B63" s="534" t="s">
        <v>276</v>
      </c>
      <c r="C63" s="533">
        <v>0</v>
      </c>
      <c r="D63" s="533">
        <v>-150</v>
      </c>
      <c r="E63" s="533">
        <v>-198</v>
      </c>
      <c r="F63" s="533">
        <v>0</v>
      </c>
      <c r="G63" s="533">
        <v>0</v>
      </c>
      <c r="H63" s="533">
        <v>0</v>
      </c>
      <c r="I63" s="532">
        <f t="shared" si="16"/>
        <v>-150</v>
      </c>
    </row>
    <row r="64" spans="2:9" ht="30" customHeight="1" thickBot="1" x14ac:dyDescent="0.2">
      <c r="B64" s="455" t="s">
        <v>275</v>
      </c>
      <c r="C64" s="256">
        <f t="shared" ref="C64:I64" si="18">C55+C56</f>
        <v>-39</v>
      </c>
      <c r="D64" s="256">
        <f t="shared" si="18"/>
        <v>-681193</v>
      </c>
      <c r="E64" s="256">
        <f t="shared" si="18"/>
        <v>-499209</v>
      </c>
      <c r="F64" s="256">
        <f t="shared" si="18"/>
        <v>-17073</v>
      </c>
      <c r="G64" s="256">
        <f t="shared" si="18"/>
        <v>0</v>
      </c>
      <c r="H64" s="256">
        <f t="shared" si="18"/>
        <v>0</v>
      </c>
      <c r="I64" s="531">
        <f t="shared" si="18"/>
        <v>-698305</v>
      </c>
    </row>
    <row r="65" spans="2:9" ht="30" customHeight="1" thickBot="1" x14ac:dyDescent="0.2">
      <c r="B65" s="455" t="s">
        <v>274</v>
      </c>
      <c r="C65" s="256">
        <v>0</v>
      </c>
      <c r="D65" s="256">
        <v>-10</v>
      </c>
      <c r="E65" s="256">
        <v>0</v>
      </c>
      <c r="F65" s="256">
        <v>0</v>
      </c>
      <c r="G65" s="256">
        <v>0</v>
      </c>
      <c r="H65" s="256">
        <v>-1196</v>
      </c>
      <c r="I65" s="531">
        <f>C65+D65+F65+G65+H65</f>
        <v>-1206</v>
      </c>
    </row>
    <row r="66" spans="2:9" ht="15" hidden="1" customHeight="1" x14ac:dyDescent="0.15">
      <c r="B66" s="537" t="s">
        <v>273</v>
      </c>
      <c r="C66" s="536">
        <v>0</v>
      </c>
      <c r="D66" s="536">
        <v>0</v>
      </c>
      <c r="E66" s="536">
        <v>0</v>
      </c>
      <c r="F66" s="536">
        <v>0</v>
      </c>
      <c r="G66" s="536">
        <v>0</v>
      </c>
      <c r="H66" s="536">
        <v>0</v>
      </c>
      <c r="I66" s="535">
        <f>C66+D66+F66+G66+H66</f>
        <v>0</v>
      </c>
    </row>
    <row r="67" spans="2:9" ht="15" hidden="1" customHeight="1" thickBot="1" x14ac:dyDescent="0.2">
      <c r="B67" s="534" t="s">
        <v>272</v>
      </c>
      <c r="C67" s="533">
        <v>0</v>
      </c>
      <c r="D67" s="533">
        <v>0</v>
      </c>
      <c r="E67" s="533">
        <v>0</v>
      </c>
      <c r="F67" s="533">
        <v>0</v>
      </c>
      <c r="G67" s="533">
        <v>0</v>
      </c>
      <c r="H67" s="533">
        <v>0</v>
      </c>
      <c r="I67" s="532">
        <f>C67+D67+F67+G67+H67</f>
        <v>0</v>
      </c>
    </row>
    <row r="68" spans="2:9" ht="30" customHeight="1" thickBot="1" x14ac:dyDescent="0.2">
      <c r="B68" s="455" t="s">
        <v>271</v>
      </c>
      <c r="C68" s="256">
        <f t="shared" ref="C68:H68" si="19">SUM(C65:C67)</f>
        <v>0</v>
      </c>
      <c r="D68" s="256">
        <f t="shared" si="19"/>
        <v>-10</v>
      </c>
      <c r="E68" s="256">
        <f t="shared" si="19"/>
        <v>0</v>
      </c>
      <c r="F68" s="256">
        <f t="shared" si="19"/>
        <v>0</v>
      </c>
      <c r="G68" s="256">
        <f t="shared" si="19"/>
        <v>0</v>
      </c>
      <c r="H68" s="256">
        <f t="shared" si="19"/>
        <v>-1196</v>
      </c>
      <c r="I68" s="531">
        <f>I65+I66+I67</f>
        <v>-1206</v>
      </c>
    </row>
    <row r="69" spans="2:9" ht="30" customHeight="1" thickBot="1" x14ac:dyDescent="0.2">
      <c r="B69" s="455" t="s">
        <v>270</v>
      </c>
      <c r="C69" s="256">
        <f t="shared" ref="C69:I69" si="20">C54+C64+C68</f>
        <v>0</v>
      </c>
      <c r="D69" s="256">
        <f t="shared" si="20"/>
        <v>347357</v>
      </c>
      <c r="E69" s="256">
        <f t="shared" si="20"/>
        <v>249964</v>
      </c>
      <c r="F69" s="256">
        <f t="shared" si="20"/>
        <v>5154</v>
      </c>
      <c r="G69" s="256">
        <f t="shared" si="20"/>
        <v>163006</v>
      </c>
      <c r="H69" s="256">
        <f t="shared" si="20"/>
        <v>3532</v>
      </c>
      <c r="I69" s="531">
        <f t="shared" si="20"/>
        <v>519049</v>
      </c>
    </row>
    <row r="72" spans="2:9" x14ac:dyDescent="0.15">
      <c r="B72" s="530"/>
      <c r="C72" s="529"/>
      <c r="D72" s="529"/>
      <c r="E72" s="529"/>
      <c r="F72" s="529"/>
      <c r="G72" s="529"/>
      <c r="H72" s="529"/>
      <c r="I72" s="528"/>
    </row>
    <row r="75" spans="2:9" s="523" customFormat="1" x14ac:dyDescent="0.15">
      <c r="B75" s="527"/>
      <c r="C75" s="526"/>
      <c r="D75" s="526"/>
      <c r="E75" s="526"/>
      <c r="F75" s="526"/>
      <c r="G75" s="526"/>
    </row>
    <row r="76" spans="2:9" s="523" customFormat="1" x14ac:dyDescent="0.15">
      <c r="B76" s="527"/>
      <c r="C76" s="526"/>
      <c r="D76" s="526"/>
      <c r="E76" s="526"/>
      <c r="F76" s="526"/>
      <c r="G76" s="526"/>
    </row>
    <row r="77" spans="2:9" s="523" customFormat="1" x14ac:dyDescent="0.15">
      <c r="B77" s="527"/>
      <c r="C77" s="526"/>
      <c r="D77" s="526"/>
      <c r="E77" s="526"/>
      <c r="F77" s="526"/>
      <c r="G77" s="526"/>
    </row>
    <row r="78" spans="2:9" s="523" customFormat="1" x14ac:dyDescent="0.15">
      <c r="B78" s="527"/>
      <c r="C78" s="526"/>
      <c r="D78" s="526"/>
      <c r="E78" s="526"/>
      <c r="F78" s="526"/>
      <c r="G78" s="526"/>
    </row>
    <row r="79" spans="2:9" s="523" customFormat="1" x14ac:dyDescent="0.15">
      <c r="B79" s="527"/>
      <c r="C79" s="526"/>
      <c r="D79" s="526"/>
      <c r="E79" s="526"/>
      <c r="F79" s="526"/>
      <c r="G79" s="526"/>
    </row>
    <row r="80" spans="2:9" s="523" customFormat="1" x14ac:dyDescent="0.15">
      <c r="B80" s="527"/>
      <c r="C80" s="526"/>
      <c r="D80" s="526"/>
      <c r="E80" s="526"/>
      <c r="F80" s="526"/>
      <c r="G80" s="526"/>
    </row>
    <row r="81" spans="2:7" s="523" customFormat="1" x14ac:dyDescent="0.15">
      <c r="B81" s="527"/>
      <c r="C81" s="526"/>
      <c r="D81" s="526"/>
      <c r="E81" s="526"/>
      <c r="F81" s="526"/>
      <c r="G81" s="526"/>
    </row>
    <row r="82" spans="2:7" s="523" customFormat="1" x14ac:dyDescent="0.15">
      <c r="B82" s="527"/>
      <c r="C82" s="526"/>
      <c r="D82" s="526"/>
      <c r="E82" s="526"/>
      <c r="F82" s="526"/>
      <c r="G82" s="526"/>
    </row>
    <row r="83" spans="2:7" s="523" customFormat="1" x14ac:dyDescent="0.15">
      <c r="B83" s="527"/>
      <c r="C83" s="526"/>
      <c r="D83" s="526"/>
      <c r="E83" s="526"/>
      <c r="F83" s="526"/>
      <c r="G83" s="526"/>
    </row>
    <row r="84" spans="2:7" s="523" customFormat="1" x14ac:dyDescent="0.15">
      <c r="B84" s="527"/>
      <c r="C84" s="526"/>
      <c r="D84" s="526"/>
      <c r="E84" s="526"/>
      <c r="F84" s="526"/>
      <c r="G84" s="526"/>
    </row>
    <row r="85" spans="2:7" s="523" customFormat="1" x14ac:dyDescent="0.15">
      <c r="B85" s="527"/>
      <c r="C85" s="526"/>
      <c r="D85" s="526"/>
      <c r="E85" s="526"/>
      <c r="F85" s="526"/>
      <c r="G85" s="526"/>
    </row>
    <row r="86" spans="2:7" s="523" customFormat="1" x14ac:dyDescent="0.15">
      <c r="B86" s="527"/>
      <c r="C86" s="526"/>
      <c r="D86" s="526"/>
      <c r="E86" s="526"/>
      <c r="F86" s="526"/>
      <c r="G86" s="526"/>
    </row>
    <row r="87" spans="2:7" s="523" customFormat="1" x14ac:dyDescent="0.15">
      <c r="B87" s="527"/>
      <c r="C87" s="526"/>
      <c r="D87" s="526"/>
      <c r="E87" s="526"/>
      <c r="F87" s="526"/>
      <c r="G87" s="526"/>
    </row>
    <row r="88" spans="2:7" s="523" customFormat="1" x14ac:dyDescent="0.15">
      <c r="B88" s="527"/>
      <c r="C88" s="526"/>
      <c r="D88" s="526"/>
      <c r="E88" s="526"/>
      <c r="F88" s="526"/>
      <c r="G88" s="526"/>
    </row>
    <row r="89" spans="2:7" s="523" customFormat="1" x14ac:dyDescent="0.15">
      <c r="B89" s="527"/>
      <c r="C89" s="526"/>
      <c r="D89" s="526"/>
      <c r="E89" s="526"/>
      <c r="F89" s="526"/>
      <c r="G89" s="526"/>
    </row>
    <row r="90" spans="2:7" s="523" customFormat="1" x14ac:dyDescent="0.15">
      <c r="B90" s="527"/>
      <c r="C90" s="526"/>
      <c r="D90" s="526"/>
      <c r="E90" s="526"/>
      <c r="F90" s="526"/>
      <c r="G90" s="526"/>
    </row>
    <row r="91" spans="2:7" s="523" customFormat="1" x14ac:dyDescent="0.15">
      <c r="B91" s="527"/>
      <c r="C91" s="526"/>
      <c r="D91" s="526"/>
      <c r="E91" s="526"/>
      <c r="F91" s="526"/>
      <c r="G91" s="526"/>
    </row>
    <row r="92" spans="2:7" s="523" customFormat="1" x14ac:dyDescent="0.15">
      <c r="B92" s="527"/>
      <c r="C92" s="526"/>
      <c r="D92" s="526"/>
      <c r="E92" s="526"/>
      <c r="F92" s="526"/>
      <c r="G92" s="526"/>
    </row>
    <row r="93" spans="2:7" s="523" customFormat="1" x14ac:dyDescent="0.15">
      <c r="B93" s="527"/>
      <c r="C93" s="526"/>
      <c r="D93" s="526"/>
      <c r="E93" s="526"/>
      <c r="F93" s="526"/>
      <c r="G93" s="526"/>
    </row>
    <row r="94" spans="2:7" s="523" customFormat="1" x14ac:dyDescent="0.15">
      <c r="B94" s="527"/>
      <c r="C94" s="526"/>
      <c r="D94" s="526"/>
      <c r="E94" s="526"/>
      <c r="F94" s="526"/>
      <c r="G94" s="526"/>
    </row>
    <row r="95" spans="2:7" s="523" customFormat="1" x14ac:dyDescent="0.15">
      <c r="B95" s="527"/>
      <c r="C95" s="526"/>
      <c r="D95" s="526"/>
      <c r="E95" s="526"/>
      <c r="F95" s="526"/>
      <c r="G95" s="526"/>
    </row>
    <row r="96" spans="2:7" s="523" customFormat="1" x14ac:dyDescent="0.15">
      <c r="B96" s="527"/>
      <c r="C96" s="526"/>
      <c r="D96" s="526"/>
      <c r="E96" s="526"/>
      <c r="F96" s="526"/>
      <c r="G96" s="526"/>
    </row>
    <row r="97" spans="2:7" s="523" customFormat="1" x14ac:dyDescent="0.15">
      <c r="B97" s="527"/>
      <c r="C97" s="526"/>
      <c r="D97" s="526"/>
      <c r="E97" s="526"/>
      <c r="F97" s="526"/>
      <c r="G97" s="526"/>
    </row>
    <row r="98" spans="2:7" s="523" customFormat="1" x14ac:dyDescent="0.15">
      <c r="B98" s="527"/>
      <c r="C98" s="526"/>
      <c r="D98" s="526"/>
      <c r="E98" s="526"/>
      <c r="F98" s="526"/>
      <c r="G98" s="526"/>
    </row>
    <row r="99" spans="2:7" s="523" customFormat="1" x14ac:dyDescent="0.15">
      <c r="B99" s="527"/>
      <c r="C99" s="526"/>
      <c r="D99" s="526"/>
      <c r="E99" s="526"/>
      <c r="F99" s="526"/>
      <c r="G99" s="526"/>
    </row>
    <row r="100" spans="2:7" s="523" customFormat="1" x14ac:dyDescent="0.15">
      <c r="B100" s="527"/>
      <c r="C100" s="526"/>
      <c r="D100" s="526"/>
      <c r="E100" s="526"/>
      <c r="F100" s="526"/>
      <c r="G100" s="526"/>
    </row>
    <row r="101" spans="2:7" s="523" customFormat="1" x14ac:dyDescent="0.15">
      <c r="B101" s="527"/>
      <c r="C101" s="526"/>
      <c r="D101" s="526"/>
      <c r="E101" s="526"/>
      <c r="F101" s="526"/>
      <c r="G101" s="526"/>
    </row>
    <row r="102" spans="2:7" s="523" customFormat="1" x14ac:dyDescent="0.15">
      <c r="B102" s="527"/>
      <c r="C102" s="526"/>
      <c r="D102" s="526"/>
      <c r="E102" s="526"/>
      <c r="F102" s="526"/>
      <c r="G102" s="526"/>
    </row>
    <row r="103" spans="2:7" s="523" customFormat="1" x14ac:dyDescent="0.15">
      <c r="B103" s="527"/>
      <c r="C103" s="526"/>
      <c r="D103" s="526"/>
      <c r="E103" s="526"/>
      <c r="F103" s="526"/>
      <c r="G103" s="526"/>
    </row>
    <row r="104" spans="2:7" s="523" customFormat="1" x14ac:dyDescent="0.15">
      <c r="B104" s="527"/>
      <c r="C104" s="526"/>
      <c r="D104" s="526"/>
      <c r="E104" s="526"/>
      <c r="F104" s="526"/>
      <c r="G104" s="526"/>
    </row>
    <row r="105" spans="2:7" s="523" customFormat="1" x14ac:dyDescent="0.15">
      <c r="B105" s="527"/>
      <c r="C105" s="526"/>
      <c r="D105" s="526"/>
      <c r="E105" s="526"/>
      <c r="F105" s="526"/>
      <c r="G105" s="526"/>
    </row>
    <row r="106" spans="2:7" s="523" customFormat="1" x14ac:dyDescent="0.15">
      <c r="B106" s="527"/>
      <c r="C106" s="526"/>
      <c r="D106" s="526"/>
      <c r="E106" s="526"/>
      <c r="F106" s="526"/>
      <c r="G106" s="526"/>
    </row>
    <row r="107" spans="2:7" s="523" customFormat="1" x14ac:dyDescent="0.15">
      <c r="B107" s="527"/>
      <c r="C107" s="526"/>
      <c r="D107" s="526"/>
      <c r="E107" s="526"/>
      <c r="F107" s="526"/>
      <c r="G107" s="526"/>
    </row>
    <row r="108" spans="2:7" s="523" customFormat="1" x14ac:dyDescent="0.15">
      <c r="B108" s="527"/>
      <c r="C108" s="526"/>
      <c r="D108" s="526"/>
      <c r="E108" s="526"/>
      <c r="F108" s="526"/>
      <c r="G108" s="526"/>
    </row>
    <row r="109" spans="2:7" s="523" customFormat="1" x14ac:dyDescent="0.15">
      <c r="B109" s="527"/>
      <c r="C109" s="526"/>
      <c r="D109" s="526"/>
      <c r="E109" s="526"/>
      <c r="F109" s="526"/>
      <c r="G109" s="526"/>
    </row>
    <row r="110" spans="2:7" s="523" customFormat="1" x14ac:dyDescent="0.15">
      <c r="B110" s="527"/>
      <c r="C110" s="526"/>
      <c r="D110" s="526"/>
      <c r="E110" s="526"/>
      <c r="F110" s="526"/>
      <c r="G110" s="526"/>
    </row>
    <row r="111" spans="2:7" s="523" customFormat="1" x14ac:dyDescent="0.15">
      <c r="B111" s="527"/>
      <c r="C111" s="526"/>
      <c r="D111" s="526"/>
      <c r="E111" s="526"/>
      <c r="F111" s="526"/>
      <c r="G111" s="526"/>
    </row>
    <row r="112" spans="2:7" s="523" customFormat="1" x14ac:dyDescent="0.15">
      <c r="B112" s="527"/>
      <c r="C112" s="526"/>
      <c r="D112" s="526"/>
      <c r="E112" s="526"/>
      <c r="F112" s="526"/>
      <c r="G112" s="526"/>
    </row>
    <row r="113" spans="2:7" s="523" customFormat="1" x14ac:dyDescent="0.15">
      <c r="B113" s="527"/>
      <c r="C113" s="526"/>
      <c r="D113" s="526"/>
      <c r="E113" s="526"/>
      <c r="F113" s="526"/>
      <c r="G113" s="526"/>
    </row>
    <row r="114" spans="2:7" s="523" customFormat="1" x14ac:dyDescent="0.15">
      <c r="B114" s="527"/>
      <c r="C114" s="526"/>
      <c r="D114" s="526"/>
      <c r="E114" s="526"/>
      <c r="F114" s="526"/>
      <c r="G114" s="526"/>
    </row>
    <row r="115" spans="2:7" s="523" customFormat="1" x14ac:dyDescent="0.15">
      <c r="B115" s="527"/>
      <c r="C115" s="526"/>
      <c r="D115" s="526"/>
      <c r="E115" s="526"/>
      <c r="F115" s="526"/>
      <c r="G115" s="526"/>
    </row>
    <row r="116" spans="2:7" s="523" customFormat="1" x14ac:dyDescent="0.15">
      <c r="B116" s="527"/>
      <c r="C116" s="526"/>
      <c r="D116" s="526"/>
      <c r="E116" s="526"/>
      <c r="F116" s="526"/>
      <c r="G116" s="526"/>
    </row>
    <row r="117" spans="2:7" s="523" customFormat="1" x14ac:dyDescent="0.15">
      <c r="B117" s="527"/>
      <c r="C117" s="526"/>
      <c r="D117" s="526"/>
      <c r="E117" s="526"/>
      <c r="F117" s="526"/>
      <c r="G117" s="526"/>
    </row>
    <row r="118" spans="2:7" s="523" customFormat="1" x14ac:dyDescent="0.15">
      <c r="B118" s="527"/>
      <c r="C118" s="526"/>
      <c r="D118" s="526"/>
      <c r="E118" s="526"/>
      <c r="F118" s="526"/>
      <c r="G118" s="526"/>
    </row>
    <row r="119" spans="2:7" s="523" customFormat="1" x14ac:dyDescent="0.15">
      <c r="B119" s="527"/>
      <c r="C119" s="526"/>
      <c r="D119" s="526"/>
      <c r="E119" s="526"/>
      <c r="F119" s="526"/>
      <c r="G119" s="526"/>
    </row>
    <row r="120" spans="2:7" s="523" customFormat="1" x14ac:dyDescent="0.15">
      <c r="B120" s="527"/>
      <c r="C120" s="526"/>
      <c r="D120" s="526"/>
      <c r="E120" s="526"/>
      <c r="F120" s="526"/>
      <c r="G120" s="526"/>
    </row>
    <row r="121" spans="2:7" s="523" customFormat="1" x14ac:dyDescent="0.15">
      <c r="B121" s="527"/>
      <c r="C121" s="526"/>
      <c r="D121" s="526"/>
      <c r="E121" s="526"/>
      <c r="F121" s="526"/>
      <c r="G121" s="526"/>
    </row>
    <row r="122" spans="2:7" s="523" customFormat="1" x14ac:dyDescent="0.15">
      <c r="B122" s="527"/>
      <c r="C122" s="526"/>
      <c r="D122" s="526"/>
      <c r="E122" s="526"/>
      <c r="F122" s="526"/>
      <c r="G122" s="526"/>
    </row>
    <row r="123" spans="2:7" s="523" customFormat="1" x14ac:dyDescent="0.15">
      <c r="B123" s="527"/>
      <c r="C123" s="526"/>
      <c r="D123" s="526"/>
      <c r="E123" s="526"/>
      <c r="F123" s="526"/>
      <c r="G123" s="526"/>
    </row>
    <row r="124" spans="2:7" s="523" customFormat="1" x14ac:dyDescent="0.15">
      <c r="B124" s="527"/>
      <c r="C124" s="526"/>
      <c r="D124" s="526"/>
      <c r="E124" s="526"/>
      <c r="F124" s="526"/>
      <c r="G124" s="526"/>
    </row>
    <row r="125" spans="2:7" s="523" customFormat="1" x14ac:dyDescent="0.15">
      <c r="B125" s="527"/>
      <c r="C125" s="526"/>
      <c r="D125" s="526"/>
      <c r="E125" s="526"/>
      <c r="F125" s="526"/>
      <c r="G125" s="526"/>
    </row>
    <row r="126" spans="2:7" s="523" customFormat="1" x14ac:dyDescent="0.15">
      <c r="B126" s="527"/>
      <c r="C126" s="526"/>
      <c r="D126" s="526"/>
      <c r="E126" s="526"/>
      <c r="F126" s="526"/>
      <c r="G126" s="526"/>
    </row>
    <row r="127" spans="2:7" s="523" customFormat="1" x14ac:dyDescent="0.15">
      <c r="B127" s="527"/>
      <c r="C127" s="526"/>
      <c r="D127" s="526"/>
      <c r="E127" s="526"/>
      <c r="F127" s="526"/>
      <c r="G127" s="526"/>
    </row>
    <row r="128" spans="2:7" s="523" customFormat="1" x14ac:dyDescent="0.15">
      <c r="B128" s="527"/>
      <c r="C128" s="526"/>
      <c r="D128" s="526"/>
      <c r="E128" s="526"/>
      <c r="F128" s="526"/>
      <c r="G128" s="526"/>
    </row>
    <row r="129" spans="2:7" s="523" customFormat="1" x14ac:dyDescent="0.15">
      <c r="B129" s="527"/>
      <c r="C129" s="526"/>
      <c r="D129" s="526"/>
      <c r="E129" s="526"/>
      <c r="F129" s="526"/>
      <c r="G129" s="526"/>
    </row>
    <row r="130" spans="2:7" s="523" customFormat="1" x14ac:dyDescent="0.15">
      <c r="B130" s="527"/>
      <c r="C130" s="526"/>
      <c r="D130" s="526"/>
      <c r="E130" s="526"/>
      <c r="F130" s="526"/>
      <c r="G130" s="526"/>
    </row>
    <row r="131" spans="2:7" s="523" customFormat="1" x14ac:dyDescent="0.15">
      <c r="B131" s="527"/>
      <c r="C131" s="526"/>
      <c r="D131" s="526"/>
      <c r="E131" s="526"/>
      <c r="F131" s="526"/>
      <c r="G131" s="526"/>
    </row>
    <row r="132" spans="2:7" s="523" customFormat="1" x14ac:dyDescent="0.15">
      <c r="B132" s="527"/>
      <c r="C132" s="526"/>
      <c r="D132" s="526"/>
      <c r="E132" s="526"/>
      <c r="F132" s="526"/>
      <c r="G132" s="526"/>
    </row>
    <row r="133" spans="2:7" s="523" customFormat="1" x14ac:dyDescent="0.15">
      <c r="B133" s="527"/>
      <c r="C133" s="526"/>
      <c r="D133" s="526"/>
      <c r="E133" s="526"/>
      <c r="F133" s="526"/>
      <c r="G133" s="526"/>
    </row>
    <row r="134" spans="2:7" s="523" customFormat="1" x14ac:dyDescent="0.15">
      <c r="B134" s="527"/>
      <c r="C134" s="526"/>
      <c r="D134" s="526"/>
      <c r="E134" s="526"/>
      <c r="F134" s="526"/>
      <c r="G134" s="526"/>
    </row>
    <row r="135" spans="2:7" s="523" customFormat="1" x14ac:dyDescent="0.15">
      <c r="B135" s="527"/>
      <c r="C135" s="526"/>
      <c r="D135" s="526"/>
      <c r="E135" s="526"/>
      <c r="F135" s="526"/>
      <c r="G135" s="526"/>
    </row>
    <row r="136" spans="2:7" s="523" customFormat="1" x14ac:dyDescent="0.15">
      <c r="B136" s="527"/>
      <c r="C136" s="526"/>
      <c r="D136" s="526"/>
      <c r="E136" s="526"/>
      <c r="F136" s="526"/>
      <c r="G136" s="526"/>
    </row>
    <row r="137" spans="2:7" s="523" customFormat="1" x14ac:dyDescent="0.15">
      <c r="B137" s="527"/>
      <c r="C137" s="526"/>
      <c r="D137" s="526"/>
      <c r="E137" s="526"/>
      <c r="F137" s="526"/>
      <c r="G137" s="526"/>
    </row>
    <row r="138" spans="2:7" s="523" customFormat="1" x14ac:dyDescent="0.15">
      <c r="B138" s="527"/>
      <c r="C138" s="526"/>
      <c r="D138" s="526"/>
      <c r="E138" s="526"/>
      <c r="F138" s="526"/>
      <c r="G138" s="526"/>
    </row>
    <row r="139" spans="2:7" s="523" customFormat="1" x14ac:dyDescent="0.15">
      <c r="B139" s="527"/>
      <c r="C139" s="526"/>
      <c r="D139" s="526"/>
      <c r="E139" s="526"/>
      <c r="F139" s="526"/>
      <c r="G139" s="526"/>
    </row>
    <row r="140" spans="2:7" s="523" customFormat="1" x14ac:dyDescent="0.15">
      <c r="B140" s="527"/>
      <c r="C140" s="526"/>
      <c r="D140" s="526"/>
      <c r="E140" s="526"/>
      <c r="F140" s="526"/>
      <c r="G140" s="526"/>
    </row>
    <row r="141" spans="2:7" s="523" customFormat="1" x14ac:dyDescent="0.15">
      <c r="B141" s="527"/>
      <c r="C141" s="526"/>
      <c r="D141" s="526"/>
      <c r="E141" s="526"/>
      <c r="F141" s="526"/>
      <c r="G141" s="526"/>
    </row>
    <row r="142" spans="2:7" s="523" customFormat="1" x14ac:dyDescent="0.15">
      <c r="B142" s="527"/>
      <c r="C142" s="526"/>
      <c r="D142" s="526"/>
      <c r="E142" s="526"/>
      <c r="F142" s="526"/>
      <c r="G142" s="526"/>
    </row>
    <row r="143" spans="2:7" s="523" customFormat="1" x14ac:dyDescent="0.15">
      <c r="B143" s="527"/>
      <c r="C143" s="526"/>
      <c r="D143" s="526"/>
      <c r="E143" s="526"/>
      <c r="F143" s="526"/>
      <c r="G143" s="526"/>
    </row>
    <row r="144" spans="2:7" s="523" customFormat="1" x14ac:dyDescent="0.15">
      <c r="B144" s="527"/>
      <c r="C144" s="526"/>
      <c r="D144" s="526"/>
      <c r="E144" s="526"/>
      <c r="F144" s="526"/>
      <c r="G144" s="526"/>
    </row>
    <row r="145" spans="2:7" s="523" customFormat="1" x14ac:dyDescent="0.15">
      <c r="B145" s="527"/>
      <c r="C145" s="526"/>
      <c r="D145" s="526"/>
      <c r="E145" s="526"/>
      <c r="F145" s="526"/>
      <c r="G145" s="526"/>
    </row>
    <row r="146" spans="2:7" s="523" customFormat="1" x14ac:dyDescent="0.15">
      <c r="B146" s="527"/>
      <c r="C146" s="526"/>
      <c r="D146" s="526"/>
      <c r="E146" s="526"/>
      <c r="F146" s="526"/>
      <c r="G146" s="526"/>
    </row>
    <row r="147" spans="2:7" s="523" customFormat="1" x14ac:dyDescent="0.15">
      <c r="B147" s="527"/>
      <c r="C147" s="526"/>
      <c r="D147" s="526"/>
      <c r="E147" s="526"/>
      <c r="F147" s="526"/>
      <c r="G147" s="526"/>
    </row>
    <row r="148" spans="2:7" s="523" customFormat="1" x14ac:dyDescent="0.15">
      <c r="B148" s="527"/>
      <c r="C148" s="526"/>
      <c r="D148" s="526"/>
      <c r="E148" s="526"/>
      <c r="F148" s="526"/>
      <c r="G148" s="526"/>
    </row>
    <row r="149" spans="2:7" s="523" customFormat="1" x14ac:dyDescent="0.15">
      <c r="B149" s="527"/>
      <c r="C149" s="526"/>
      <c r="D149" s="526"/>
      <c r="E149" s="526"/>
      <c r="F149" s="526"/>
      <c r="G149" s="526"/>
    </row>
    <row r="150" spans="2:7" s="523" customFormat="1" x14ac:dyDescent="0.15">
      <c r="B150" s="527"/>
      <c r="C150" s="526"/>
      <c r="D150" s="526"/>
      <c r="E150" s="526"/>
      <c r="F150" s="526"/>
      <c r="G150" s="526"/>
    </row>
    <row r="151" spans="2:7" s="523" customFormat="1" x14ac:dyDescent="0.15">
      <c r="B151" s="527"/>
      <c r="C151" s="526"/>
      <c r="D151" s="526"/>
      <c r="E151" s="526"/>
      <c r="F151" s="526"/>
      <c r="G151" s="526"/>
    </row>
    <row r="152" spans="2:7" s="523" customFormat="1" x14ac:dyDescent="0.15">
      <c r="B152" s="527"/>
      <c r="C152" s="526"/>
      <c r="D152" s="526"/>
      <c r="E152" s="526"/>
      <c r="F152" s="526"/>
      <c r="G152" s="526"/>
    </row>
    <row r="153" spans="2:7" s="523" customFormat="1" x14ac:dyDescent="0.15">
      <c r="B153" s="527"/>
      <c r="C153" s="526"/>
      <c r="D153" s="526"/>
      <c r="E153" s="526"/>
      <c r="F153" s="526"/>
      <c r="G153" s="526"/>
    </row>
    <row r="154" spans="2:7" s="523" customFormat="1" x14ac:dyDescent="0.15">
      <c r="B154" s="527"/>
      <c r="C154" s="526"/>
      <c r="D154" s="526"/>
      <c r="E154" s="526"/>
      <c r="F154" s="526"/>
      <c r="G154" s="526"/>
    </row>
    <row r="155" spans="2:7" s="523" customFormat="1" x14ac:dyDescent="0.15">
      <c r="B155" s="527"/>
      <c r="C155" s="526"/>
      <c r="D155" s="526"/>
      <c r="E155" s="526"/>
      <c r="F155" s="526"/>
      <c r="G155" s="526"/>
    </row>
    <row r="156" spans="2:7" s="523" customFormat="1" x14ac:dyDescent="0.15">
      <c r="B156" s="527"/>
      <c r="C156" s="526"/>
      <c r="D156" s="526"/>
      <c r="E156" s="526"/>
      <c r="F156" s="526"/>
      <c r="G156" s="526"/>
    </row>
    <row r="157" spans="2:7" s="523" customFormat="1" x14ac:dyDescent="0.15">
      <c r="B157" s="527"/>
      <c r="C157" s="526"/>
      <c r="D157" s="526"/>
      <c r="E157" s="526"/>
      <c r="F157" s="526"/>
      <c r="G157" s="526"/>
    </row>
    <row r="158" spans="2:7" s="523" customFormat="1" x14ac:dyDescent="0.15">
      <c r="B158" s="527"/>
      <c r="C158" s="526"/>
      <c r="D158" s="526"/>
      <c r="E158" s="526"/>
      <c r="F158" s="526"/>
      <c r="G158" s="526"/>
    </row>
    <row r="159" spans="2:7" s="523" customFormat="1" x14ac:dyDescent="0.15">
      <c r="B159" s="527"/>
      <c r="C159" s="526"/>
      <c r="D159" s="526"/>
      <c r="E159" s="526"/>
      <c r="F159" s="526"/>
      <c r="G159" s="526"/>
    </row>
    <row r="160" spans="2:7" s="523" customFormat="1" x14ac:dyDescent="0.15">
      <c r="B160" s="527"/>
      <c r="C160" s="526"/>
      <c r="D160" s="526"/>
      <c r="E160" s="526"/>
      <c r="F160" s="526"/>
      <c r="G160" s="526"/>
    </row>
    <row r="161" spans="2:7" s="523" customFormat="1" x14ac:dyDescent="0.15">
      <c r="B161" s="527"/>
      <c r="C161" s="526"/>
      <c r="D161" s="526"/>
      <c r="E161" s="526"/>
      <c r="F161" s="526"/>
      <c r="G161" s="526"/>
    </row>
    <row r="162" spans="2:7" s="523" customFormat="1" x14ac:dyDescent="0.15">
      <c r="B162" s="527"/>
      <c r="C162" s="526"/>
      <c r="D162" s="526"/>
      <c r="E162" s="526"/>
      <c r="F162" s="526"/>
      <c r="G162" s="526"/>
    </row>
    <row r="163" spans="2:7" s="523" customFormat="1" x14ac:dyDescent="0.15">
      <c r="B163" s="527"/>
      <c r="C163" s="526"/>
      <c r="D163" s="526"/>
      <c r="E163" s="526"/>
      <c r="F163" s="526"/>
      <c r="G163" s="526"/>
    </row>
    <row r="164" spans="2:7" s="523" customFormat="1" x14ac:dyDescent="0.15">
      <c r="B164" s="527"/>
      <c r="C164" s="526"/>
      <c r="D164" s="526"/>
      <c r="E164" s="526"/>
      <c r="F164" s="526"/>
      <c r="G164" s="526"/>
    </row>
    <row r="165" spans="2:7" s="523" customFormat="1" x14ac:dyDescent="0.15">
      <c r="B165" s="527"/>
      <c r="C165" s="526"/>
      <c r="D165" s="526"/>
      <c r="E165" s="526"/>
      <c r="F165" s="526"/>
      <c r="G165" s="526"/>
    </row>
    <row r="166" spans="2:7" s="523" customFormat="1" x14ac:dyDescent="0.15">
      <c r="B166" s="527"/>
      <c r="C166" s="526"/>
      <c r="D166" s="526"/>
      <c r="E166" s="526"/>
      <c r="F166" s="526"/>
      <c r="G166" s="526"/>
    </row>
    <row r="167" spans="2:7" s="523" customFormat="1" x14ac:dyDescent="0.15">
      <c r="B167" s="527"/>
      <c r="C167" s="526"/>
      <c r="D167" s="526"/>
      <c r="E167" s="526"/>
      <c r="F167" s="526"/>
      <c r="G167" s="526"/>
    </row>
    <row r="168" spans="2:7" s="523" customFormat="1" x14ac:dyDescent="0.15">
      <c r="B168" s="527"/>
      <c r="C168" s="526"/>
      <c r="D168" s="526"/>
      <c r="E168" s="526"/>
      <c r="F168" s="526"/>
      <c r="G168" s="526"/>
    </row>
    <row r="169" spans="2:7" s="523" customFormat="1" x14ac:dyDescent="0.15">
      <c r="B169" s="527"/>
      <c r="C169" s="526"/>
      <c r="D169" s="526"/>
      <c r="E169" s="526"/>
      <c r="F169" s="526"/>
      <c r="G169" s="526"/>
    </row>
    <row r="170" spans="2:7" s="523" customFormat="1" x14ac:dyDescent="0.15">
      <c r="B170" s="527"/>
      <c r="C170" s="526"/>
      <c r="D170" s="526"/>
      <c r="E170" s="526"/>
      <c r="F170" s="526"/>
      <c r="G170" s="526"/>
    </row>
    <row r="171" spans="2:7" s="523" customFormat="1" x14ac:dyDescent="0.15">
      <c r="B171" s="527"/>
      <c r="C171" s="526"/>
      <c r="D171" s="526"/>
      <c r="E171" s="526"/>
      <c r="F171" s="526"/>
      <c r="G171" s="526"/>
    </row>
    <row r="172" spans="2:7" s="523" customFormat="1" x14ac:dyDescent="0.15">
      <c r="B172" s="527"/>
      <c r="C172" s="526"/>
      <c r="D172" s="526"/>
      <c r="E172" s="526"/>
      <c r="F172" s="526"/>
      <c r="G172" s="526"/>
    </row>
    <row r="173" spans="2:7" s="523" customFormat="1" x14ac:dyDescent="0.15">
      <c r="B173" s="527"/>
      <c r="C173" s="526"/>
      <c r="D173" s="526"/>
      <c r="E173" s="526"/>
      <c r="F173" s="526"/>
      <c r="G173" s="526"/>
    </row>
    <row r="174" spans="2:7" s="523" customFormat="1" x14ac:dyDescent="0.15">
      <c r="B174" s="527"/>
      <c r="C174" s="526"/>
      <c r="D174" s="526"/>
      <c r="E174" s="526"/>
      <c r="F174" s="526"/>
      <c r="G174" s="526"/>
    </row>
    <row r="175" spans="2:7" s="523" customFormat="1" x14ac:dyDescent="0.15">
      <c r="B175" s="527"/>
      <c r="C175" s="526"/>
      <c r="D175" s="526"/>
      <c r="E175" s="526"/>
      <c r="F175" s="526"/>
      <c r="G175" s="526"/>
    </row>
    <row r="176" spans="2:7" s="523" customFormat="1" x14ac:dyDescent="0.15">
      <c r="B176" s="527"/>
      <c r="C176" s="526"/>
      <c r="D176" s="526"/>
      <c r="E176" s="526"/>
      <c r="F176" s="526"/>
      <c r="G176" s="526"/>
    </row>
    <row r="177" spans="2:7" s="523" customFormat="1" x14ac:dyDescent="0.15">
      <c r="B177" s="527"/>
      <c r="C177" s="526"/>
      <c r="D177" s="526"/>
      <c r="E177" s="526"/>
      <c r="F177" s="526"/>
      <c r="G177" s="526"/>
    </row>
    <row r="178" spans="2:7" s="523" customFormat="1" x14ac:dyDescent="0.15">
      <c r="B178" s="527"/>
      <c r="C178" s="526"/>
      <c r="D178" s="526"/>
      <c r="E178" s="526"/>
      <c r="F178" s="526"/>
      <c r="G178" s="526"/>
    </row>
    <row r="179" spans="2:7" s="523" customFormat="1" x14ac:dyDescent="0.15">
      <c r="B179" s="527"/>
      <c r="C179" s="526"/>
      <c r="D179" s="526"/>
      <c r="E179" s="526"/>
      <c r="F179" s="526"/>
      <c r="G179" s="526"/>
    </row>
    <row r="180" spans="2:7" s="523" customFormat="1" x14ac:dyDescent="0.15">
      <c r="B180" s="527"/>
      <c r="C180" s="526"/>
      <c r="D180" s="526"/>
      <c r="E180" s="526"/>
      <c r="F180" s="526"/>
      <c r="G180" s="526"/>
    </row>
    <row r="181" spans="2:7" s="523" customFormat="1" x14ac:dyDescent="0.15">
      <c r="B181" s="527"/>
      <c r="C181" s="526"/>
      <c r="D181" s="526"/>
      <c r="E181" s="526"/>
      <c r="F181" s="526"/>
      <c r="G181" s="526"/>
    </row>
    <row r="182" spans="2:7" s="523" customFormat="1" x14ac:dyDescent="0.15">
      <c r="B182" s="527"/>
      <c r="C182" s="526"/>
      <c r="D182" s="526"/>
      <c r="E182" s="526"/>
      <c r="F182" s="526"/>
      <c r="G182" s="526"/>
    </row>
    <row r="183" spans="2:7" s="523" customFormat="1" x14ac:dyDescent="0.15">
      <c r="B183" s="527"/>
      <c r="C183" s="526"/>
      <c r="D183" s="526"/>
      <c r="E183" s="526"/>
      <c r="F183" s="526"/>
      <c r="G183" s="526"/>
    </row>
    <row r="184" spans="2:7" s="523" customFormat="1" x14ac:dyDescent="0.15">
      <c r="B184" s="527"/>
      <c r="C184" s="526"/>
      <c r="D184" s="526"/>
      <c r="E184" s="526"/>
      <c r="F184" s="526"/>
      <c r="G184" s="526"/>
    </row>
    <row r="185" spans="2:7" s="523" customFormat="1" x14ac:dyDescent="0.15">
      <c r="B185" s="527"/>
      <c r="C185" s="526"/>
      <c r="D185" s="526"/>
      <c r="E185" s="526"/>
      <c r="F185" s="526"/>
      <c r="G185" s="526"/>
    </row>
    <row r="186" spans="2:7" s="523" customFormat="1" x14ac:dyDescent="0.15">
      <c r="B186" s="527"/>
      <c r="C186" s="526"/>
      <c r="D186" s="526"/>
      <c r="E186" s="526"/>
      <c r="F186" s="526"/>
      <c r="G186" s="526"/>
    </row>
    <row r="187" spans="2:7" s="523" customFormat="1" x14ac:dyDescent="0.15">
      <c r="B187" s="527"/>
      <c r="C187" s="526"/>
      <c r="D187" s="526"/>
      <c r="E187" s="526"/>
      <c r="F187" s="526"/>
      <c r="G187" s="526"/>
    </row>
    <row r="188" spans="2:7" s="523" customFormat="1" x14ac:dyDescent="0.15">
      <c r="B188" s="527"/>
      <c r="C188" s="526"/>
      <c r="D188" s="526"/>
      <c r="E188" s="526"/>
      <c r="F188" s="526"/>
      <c r="G188" s="526"/>
    </row>
    <row r="189" spans="2:7" s="523" customFormat="1" x14ac:dyDescent="0.15">
      <c r="B189" s="527"/>
      <c r="C189" s="526"/>
      <c r="D189" s="526"/>
      <c r="E189" s="526"/>
      <c r="F189" s="526"/>
      <c r="G189" s="526"/>
    </row>
    <row r="190" spans="2:7" s="523" customFormat="1" x14ac:dyDescent="0.15">
      <c r="B190" s="527"/>
      <c r="C190" s="526"/>
      <c r="D190" s="526"/>
      <c r="E190" s="526"/>
      <c r="F190" s="526"/>
      <c r="G190" s="526"/>
    </row>
    <row r="191" spans="2:7" s="523" customFormat="1" x14ac:dyDescent="0.15">
      <c r="B191" s="527"/>
      <c r="C191" s="526"/>
      <c r="D191" s="526"/>
      <c r="E191" s="526"/>
      <c r="F191" s="526"/>
      <c r="G191" s="526"/>
    </row>
    <row r="192" spans="2:7" s="523" customFormat="1" x14ac:dyDescent="0.15">
      <c r="B192" s="527"/>
      <c r="C192" s="526"/>
      <c r="D192" s="526"/>
      <c r="E192" s="526"/>
      <c r="F192" s="526"/>
      <c r="G192" s="526"/>
    </row>
    <row r="193" spans="2:7" s="523" customFormat="1" x14ac:dyDescent="0.15">
      <c r="B193" s="527"/>
      <c r="C193" s="526"/>
      <c r="D193" s="526"/>
      <c r="E193" s="526"/>
      <c r="F193" s="526"/>
      <c r="G193" s="526"/>
    </row>
    <row r="194" spans="2:7" s="523" customFormat="1" x14ac:dyDescent="0.15">
      <c r="B194" s="527"/>
      <c r="C194" s="526"/>
      <c r="D194" s="526"/>
      <c r="E194" s="526"/>
      <c r="F194" s="526"/>
      <c r="G194" s="526"/>
    </row>
    <row r="195" spans="2:7" s="523" customFormat="1" x14ac:dyDescent="0.15">
      <c r="B195" s="527"/>
      <c r="C195" s="526"/>
      <c r="D195" s="526"/>
      <c r="E195" s="526"/>
      <c r="F195" s="526"/>
      <c r="G195" s="526"/>
    </row>
    <row r="196" spans="2:7" s="523" customFormat="1" x14ac:dyDescent="0.15">
      <c r="B196" s="527"/>
      <c r="C196" s="526"/>
      <c r="D196" s="526"/>
      <c r="E196" s="526"/>
      <c r="F196" s="526"/>
      <c r="G196" s="526"/>
    </row>
    <row r="197" spans="2:7" s="523" customFormat="1" x14ac:dyDescent="0.15">
      <c r="B197" s="527"/>
      <c r="C197" s="526"/>
      <c r="D197" s="526"/>
      <c r="E197" s="526"/>
      <c r="F197" s="526"/>
      <c r="G197" s="526"/>
    </row>
    <row r="198" spans="2:7" s="523" customFormat="1" x14ac:dyDescent="0.15">
      <c r="B198" s="527"/>
      <c r="C198" s="526"/>
      <c r="D198" s="526"/>
      <c r="E198" s="526"/>
      <c r="F198" s="526"/>
      <c r="G198" s="526"/>
    </row>
    <row r="199" spans="2:7" s="523" customFormat="1" x14ac:dyDescent="0.15">
      <c r="B199" s="527"/>
      <c r="C199" s="526"/>
      <c r="D199" s="526"/>
      <c r="E199" s="526"/>
      <c r="F199" s="526"/>
      <c r="G199" s="526"/>
    </row>
    <row r="200" spans="2:7" s="523" customFormat="1" x14ac:dyDescent="0.15">
      <c r="B200" s="527"/>
      <c r="C200" s="526"/>
      <c r="D200" s="526"/>
      <c r="E200" s="526"/>
      <c r="F200" s="526"/>
      <c r="G200" s="526"/>
    </row>
    <row r="201" spans="2:7" s="523" customFormat="1" x14ac:dyDescent="0.15">
      <c r="B201" s="527"/>
      <c r="C201" s="526"/>
      <c r="D201" s="526"/>
      <c r="E201" s="526"/>
      <c r="F201" s="526"/>
      <c r="G201" s="526"/>
    </row>
    <row r="202" spans="2:7" s="523" customFormat="1" x14ac:dyDescent="0.15">
      <c r="B202" s="527"/>
      <c r="C202" s="526"/>
      <c r="D202" s="526"/>
      <c r="E202" s="526"/>
      <c r="F202" s="526"/>
      <c r="G202" s="526"/>
    </row>
    <row r="203" spans="2:7" s="523" customFormat="1" x14ac:dyDescent="0.15">
      <c r="B203" s="527"/>
      <c r="C203" s="526"/>
      <c r="D203" s="526"/>
      <c r="E203" s="526"/>
      <c r="F203" s="526"/>
      <c r="G203" s="526"/>
    </row>
    <row r="204" spans="2:7" s="523" customFormat="1" x14ac:dyDescent="0.15">
      <c r="B204" s="527"/>
      <c r="C204" s="526"/>
      <c r="D204" s="526"/>
      <c r="E204" s="526"/>
      <c r="F204" s="526"/>
      <c r="G204" s="526"/>
    </row>
    <row r="205" spans="2:7" s="523" customFormat="1" x14ac:dyDescent="0.15">
      <c r="B205" s="527"/>
      <c r="C205" s="526"/>
      <c r="D205" s="526"/>
      <c r="E205" s="526"/>
      <c r="F205" s="526"/>
      <c r="G205" s="526"/>
    </row>
    <row r="206" spans="2:7" s="523" customFormat="1" x14ac:dyDescent="0.15">
      <c r="B206" s="527"/>
      <c r="C206" s="526"/>
      <c r="D206" s="526"/>
      <c r="E206" s="526"/>
      <c r="F206" s="526"/>
      <c r="G206" s="526"/>
    </row>
    <row r="207" spans="2:7" s="523" customFormat="1" x14ac:dyDescent="0.15">
      <c r="B207" s="527"/>
      <c r="C207" s="526"/>
      <c r="D207" s="526"/>
      <c r="E207" s="526"/>
      <c r="F207" s="526"/>
      <c r="G207" s="526"/>
    </row>
    <row r="208" spans="2:7" s="523" customFormat="1" x14ac:dyDescent="0.15">
      <c r="B208" s="527"/>
      <c r="C208" s="526"/>
      <c r="D208" s="526"/>
      <c r="E208" s="526"/>
      <c r="F208" s="526"/>
      <c r="G208" s="526"/>
    </row>
    <row r="209" spans="2:7" s="523" customFormat="1" x14ac:dyDescent="0.15">
      <c r="B209" s="527"/>
      <c r="C209" s="526"/>
      <c r="D209" s="526"/>
      <c r="E209" s="526"/>
      <c r="F209" s="526"/>
      <c r="G209" s="526"/>
    </row>
    <row r="210" spans="2:7" s="523" customFormat="1" x14ac:dyDescent="0.15">
      <c r="B210" s="527"/>
      <c r="C210" s="526"/>
      <c r="D210" s="526"/>
      <c r="E210" s="526"/>
      <c r="F210" s="526"/>
      <c r="G210" s="526"/>
    </row>
    <row r="211" spans="2:7" s="523" customFormat="1" x14ac:dyDescent="0.15">
      <c r="B211" s="527"/>
      <c r="C211" s="526"/>
      <c r="D211" s="526"/>
      <c r="E211" s="526"/>
      <c r="F211" s="526"/>
      <c r="G211" s="526"/>
    </row>
    <row r="212" spans="2:7" s="523" customFormat="1" x14ac:dyDescent="0.15">
      <c r="B212" s="527"/>
      <c r="C212" s="526"/>
      <c r="D212" s="526"/>
      <c r="E212" s="526"/>
      <c r="F212" s="526"/>
      <c r="G212" s="526"/>
    </row>
    <row r="213" spans="2:7" s="523" customFormat="1" x14ac:dyDescent="0.15">
      <c r="B213" s="527"/>
      <c r="C213" s="526"/>
      <c r="D213" s="526"/>
      <c r="E213" s="526"/>
      <c r="F213" s="526"/>
      <c r="G213" s="526"/>
    </row>
    <row r="214" spans="2:7" s="523" customFormat="1" x14ac:dyDescent="0.15">
      <c r="B214" s="527"/>
      <c r="C214" s="526"/>
      <c r="D214" s="526"/>
      <c r="E214" s="526"/>
      <c r="F214" s="526"/>
      <c r="G214" s="526"/>
    </row>
    <row r="215" spans="2:7" s="523" customFormat="1" x14ac:dyDescent="0.15">
      <c r="B215" s="527"/>
      <c r="C215" s="526"/>
      <c r="D215" s="526"/>
      <c r="E215" s="526"/>
      <c r="F215" s="526"/>
      <c r="G215" s="526"/>
    </row>
    <row r="216" spans="2:7" s="523" customFormat="1" x14ac:dyDescent="0.15">
      <c r="B216" s="527"/>
      <c r="C216" s="526"/>
      <c r="D216" s="526"/>
      <c r="E216" s="526"/>
      <c r="F216" s="526"/>
      <c r="G216" s="526"/>
    </row>
    <row r="217" spans="2:7" s="523" customFormat="1" x14ac:dyDescent="0.15">
      <c r="B217" s="527"/>
      <c r="C217" s="526"/>
      <c r="D217" s="526"/>
      <c r="E217" s="526"/>
      <c r="F217" s="526"/>
      <c r="G217" s="526"/>
    </row>
    <row r="218" spans="2:7" s="523" customFormat="1" x14ac:dyDescent="0.15">
      <c r="B218" s="527"/>
      <c r="C218" s="526"/>
      <c r="D218" s="526"/>
      <c r="E218" s="526"/>
      <c r="F218" s="526"/>
      <c r="G218" s="526"/>
    </row>
    <row r="219" spans="2:7" s="523" customFormat="1" x14ac:dyDescent="0.15">
      <c r="B219" s="527"/>
      <c r="C219" s="526"/>
      <c r="D219" s="526"/>
      <c r="E219" s="526"/>
      <c r="F219" s="526"/>
      <c r="G219" s="526"/>
    </row>
    <row r="220" spans="2:7" s="523" customFormat="1" x14ac:dyDescent="0.15">
      <c r="B220" s="527"/>
      <c r="C220" s="526"/>
      <c r="D220" s="526"/>
      <c r="E220" s="526"/>
      <c r="F220" s="526"/>
      <c r="G220" s="526"/>
    </row>
    <row r="221" spans="2:7" s="523" customFormat="1" x14ac:dyDescent="0.15">
      <c r="B221" s="527"/>
      <c r="C221" s="526"/>
      <c r="D221" s="526"/>
      <c r="E221" s="526"/>
      <c r="F221" s="526"/>
      <c r="G221" s="526"/>
    </row>
    <row r="222" spans="2:7" s="523" customFormat="1" x14ac:dyDescent="0.15">
      <c r="B222" s="527"/>
      <c r="C222" s="526"/>
      <c r="D222" s="526"/>
      <c r="E222" s="526"/>
      <c r="F222" s="526"/>
      <c r="G222" s="526"/>
    </row>
    <row r="223" spans="2:7" s="523" customFormat="1" x14ac:dyDescent="0.15">
      <c r="B223" s="527"/>
      <c r="C223" s="526"/>
      <c r="D223" s="526"/>
      <c r="E223" s="526"/>
      <c r="F223" s="526"/>
      <c r="G223" s="526"/>
    </row>
    <row r="224" spans="2:7" s="523" customFormat="1" x14ac:dyDescent="0.15">
      <c r="B224" s="527"/>
      <c r="C224" s="526"/>
      <c r="D224" s="526"/>
      <c r="E224" s="526"/>
      <c r="F224" s="526"/>
      <c r="G224" s="526"/>
    </row>
    <row r="225" spans="2:7" s="523" customFormat="1" x14ac:dyDescent="0.15">
      <c r="B225" s="527"/>
      <c r="C225" s="526"/>
      <c r="D225" s="526"/>
      <c r="E225" s="526"/>
      <c r="F225" s="526"/>
      <c r="G225" s="526"/>
    </row>
    <row r="226" spans="2:7" s="523" customFormat="1" x14ac:dyDescent="0.15">
      <c r="B226" s="527"/>
      <c r="C226" s="526"/>
      <c r="D226" s="526"/>
      <c r="E226" s="526"/>
      <c r="F226" s="526"/>
      <c r="G226" s="526"/>
    </row>
    <row r="227" spans="2:7" s="523" customFormat="1" x14ac:dyDescent="0.15">
      <c r="B227" s="527"/>
      <c r="C227" s="526"/>
      <c r="D227" s="526"/>
      <c r="E227" s="526"/>
      <c r="F227" s="526"/>
      <c r="G227" s="526"/>
    </row>
    <row r="228" spans="2:7" s="523" customFormat="1" x14ac:dyDescent="0.15">
      <c r="B228" s="527"/>
      <c r="C228" s="526"/>
      <c r="D228" s="526"/>
      <c r="E228" s="526"/>
      <c r="F228" s="526"/>
      <c r="G228" s="526"/>
    </row>
    <row r="229" spans="2:7" s="523" customFormat="1" x14ac:dyDescent="0.15">
      <c r="B229" s="527"/>
      <c r="C229" s="526"/>
      <c r="D229" s="526"/>
      <c r="E229" s="526"/>
      <c r="F229" s="526"/>
      <c r="G229" s="526"/>
    </row>
    <row r="230" spans="2:7" s="523" customFormat="1" x14ac:dyDescent="0.15">
      <c r="B230" s="527"/>
      <c r="C230" s="526"/>
      <c r="D230" s="526"/>
      <c r="E230" s="526"/>
      <c r="F230" s="526"/>
      <c r="G230" s="526"/>
    </row>
    <row r="231" spans="2:7" s="523" customFormat="1" x14ac:dyDescent="0.15">
      <c r="B231" s="527"/>
      <c r="C231" s="526"/>
      <c r="D231" s="526"/>
      <c r="E231" s="526"/>
      <c r="F231" s="526"/>
      <c r="G231" s="526"/>
    </row>
    <row r="232" spans="2:7" s="523" customFormat="1" x14ac:dyDescent="0.15">
      <c r="B232" s="527"/>
      <c r="C232" s="526"/>
      <c r="D232" s="526"/>
      <c r="E232" s="526"/>
      <c r="F232" s="526"/>
      <c r="G232" s="526"/>
    </row>
    <row r="233" spans="2:7" s="523" customFormat="1" x14ac:dyDescent="0.15">
      <c r="B233" s="527"/>
      <c r="C233" s="526"/>
      <c r="D233" s="526"/>
      <c r="E233" s="526"/>
      <c r="F233" s="526"/>
      <c r="G233" s="526"/>
    </row>
    <row r="234" spans="2:7" s="523" customFormat="1" x14ac:dyDescent="0.15">
      <c r="B234" s="527"/>
      <c r="C234" s="526"/>
      <c r="D234" s="526"/>
      <c r="E234" s="526"/>
      <c r="F234" s="526"/>
      <c r="G234" s="526"/>
    </row>
    <row r="235" spans="2:7" s="523" customFormat="1" x14ac:dyDescent="0.15">
      <c r="B235" s="527"/>
      <c r="C235" s="526"/>
      <c r="D235" s="526"/>
      <c r="E235" s="526"/>
      <c r="F235" s="526"/>
      <c r="G235" s="526"/>
    </row>
    <row r="236" spans="2:7" s="523" customFormat="1" x14ac:dyDescent="0.15">
      <c r="B236" s="527"/>
      <c r="C236" s="526"/>
      <c r="D236" s="526"/>
      <c r="E236" s="526"/>
      <c r="F236" s="526"/>
      <c r="G236" s="526"/>
    </row>
    <row r="237" spans="2:7" s="523" customFormat="1" x14ac:dyDescent="0.15">
      <c r="B237" s="527"/>
      <c r="C237" s="526"/>
      <c r="D237" s="526"/>
      <c r="E237" s="526"/>
      <c r="F237" s="526"/>
      <c r="G237" s="526"/>
    </row>
    <row r="238" spans="2:7" s="523" customFormat="1" x14ac:dyDescent="0.15">
      <c r="B238" s="527"/>
      <c r="C238" s="526"/>
      <c r="D238" s="526"/>
      <c r="E238" s="526"/>
      <c r="F238" s="526"/>
      <c r="G238" s="526"/>
    </row>
    <row r="239" spans="2:7" s="523" customFormat="1" x14ac:dyDescent="0.15">
      <c r="B239" s="527"/>
      <c r="C239" s="526"/>
      <c r="D239" s="526"/>
      <c r="E239" s="526"/>
      <c r="F239" s="526"/>
      <c r="G239" s="526"/>
    </row>
    <row r="240" spans="2:7" s="523" customFormat="1" x14ac:dyDescent="0.15">
      <c r="B240" s="527"/>
      <c r="C240" s="526"/>
      <c r="D240" s="526"/>
      <c r="E240" s="526"/>
      <c r="F240" s="526"/>
      <c r="G240" s="526"/>
    </row>
    <row r="241" spans="2:7" s="523" customFormat="1" x14ac:dyDescent="0.15">
      <c r="B241" s="527"/>
      <c r="C241" s="526"/>
      <c r="D241" s="526"/>
      <c r="E241" s="526"/>
      <c r="F241" s="526"/>
      <c r="G241" s="526"/>
    </row>
    <row r="242" spans="2:7" s="523" customFormat="1" x14ac:dyDescent="0.15">
      <c r="B242" s="527"/>
      <c r="C242" s="526"/>
      <c r="D242" s="526"/>
      <c r="E242" s="526"/>
      <c r="F242" s="526"/>
      <c r="G242" s="526"/>
    </row>
    <row r="243" spans="2:7" s="523" customFormat="1" x14ac:dyDescent="0.15">
      <c r="B243" s="527"/>
      <c r="C243" s="526"/>
      <c r="D243" s="526"/>
      <c r="E243" s="526"/>
      <c r="F243" s="526"/>
      <c r="G243" s="526"/>
    </row>
    <row r="244" spans="2:7" s="523" customFormat="1" x14ac:dyDescent="0.15">
      <c r="B244" s="527"/>
      <c r="C244" s="526"/>
      <c r="D244" s="526"/>
      <c r="E244" s="526"/>
      <c r="F244" s="526"/>
      <c r="G244" s="526"/>
    </row>
    <row r="245" spans="2:7" s="523" customFormat="1" x14ac:dyDescent="0.15">
      <c r="B245" s="527"/>
      <c r="C245" s="526"/>
      <c r="D245" s="526"/>
      <c r="E245" s="526"/>
      <c r="F245" s="526"/>
      <c r="G245" s="526"/>
    </row>
    <row r="246" spans="2:7" s="523" customFormat="1" x14ac:dyDescent="0.15">
      <c r="B246" s="527"/>
      <c r="C246" s="526"/>
      <c r="D246" s="526"/>
      <c r="E246" s="526"/>
      <c r="F246" s="526"/>
      <c r="G246" s="526"/>
    </row>
    <row r="247" spans="2:7" s="523" customFormat="1" x14ac:dyDescent="0.15">
      <c r="B247" s="527"/>
      <c r="C247" s="526"/>
      <c r="D247" s="526"/>
      <c r="E247" s="526"/>
      <c r="F247" s="526"/>
      <c r="G247" s="526"/>
    </row>
    <row r="248" spans="2:7" s="523" customFormat="1" x14ac:dyDescent="0.15">
      <c r="B248" s="527"/>
      <c r="C248" s="526"/>
      <c r="D248" s="526"/>
      <c r="E248" s="526"/>
      <c r="F248" s="526"/>
      <c r="G248" s="526"/>
    </row>
    <row r="249" spans="2:7" s="523" customFormat="1" x14ac:dyDescent="0.15">
      <c r="B249" s="527"/>
      <c r="C249" s="526"/>
      <c r="D249" s="526"/>
      <c r="E249" s="526"/>
      <c r="F249" s="526"/>
      <c r="G249" s="526"/>
    </row>
    <row r="250" spans="2:7" s="523" customFormat="1" x14ac:dyDescent="0.15">
      <c r="B250" s="527"/>
      <c r="C250" s="526"/>
      <c r="D250" s="526"/>
      <c r="E250" s="526"/>
      <c r="F250" s="526"/>
      <c r="G250" s="526"/>
    </row>
    <row r="251" spans="2:7" s="523" customFormat="1" x14ac:dyDescent="0.15">
      <c r="B251" s="527"/>
      <c r="C251" s="526"/>
      <c r="D251" s="526"/>
      <c r="E251" s="526"/>
      <c r="F251" s="526"/>
      <c r="G251" s="526"/>
    </row>
    <row r="252" spans="2:7" s="523" customFormat="1" x14ac:dyDescent="0.15">
      <c r="B252" s="527"/>
      <c r="C252" s="526"/>
      <c r="D252" s="526"/>
      <c r="E252" s="526"/>
      <c r="F252" s="526"/>
      <c r="G252" s="526"/>
    </row>
    <row r="253" spans="2:7" s="523" customFormat="1" x14ac:dyDescent="0.15">
      <c r="B253" s="527"/>
      <c r="C253" s="526"/>
      <c r="D253" s="526"/>
      <c r="E253" s="526"/>
      <c r="F253" s="526"/>
      <c r="G253" s="526"/>
    </row>
    <row r="254" spans="2:7" s="523" customFormat="1" x14ac:dyDescent="0.15">
      <c r="B254" s="527"/>
      <c r="C254" s="526"/>
      <c r="D254" s="526"/>
      <c r="E254" s="526"/>
      <c r="F254" s="526"/>
      <c r="G254" s="526"/>
    </row>
    <row r="255" spans="2:7" s="523" customFormat="1" x14ac:dyDescent="0.15">
      <c r="B255" s="527"/>
      <c r="C255" s="526"/>
      <c r="D255" s="526"/>
      <c r="E255" s="526"/>
      <c r="F255" s="526"/>
      <c r="G255" s="526"/>
    </row>
    <row r="256" spans="2:7" s="523" customFormat="1" x14ac:dyDescent="0.15">
      <c r="B256" s="527"/>
      <c r="C256" s="526"/>
      <c r="D256" s="526"/>
      <c r="E256" s="526"/>
      <c r="F256" s="526"/>
      <c r="G256" s="526"/>
    </row>
    <row r="257" spans="2:7" s="523" customFormat="1" x14ac:dyDescent="0.15">
      <c r="B257" s="527"/>
      <c r="C257" s="526"/>
      <c r="D257" s="526"/>
      <c r="E257" s="526"/>
      <c r="F257" s="526"/>
      <c r="G257" s="526"/>
    </row>
    <row r="258" spans="2:7" s="523" customFormat="1" x14ac:dyDescent="0.15">
      <c r="B258" s="527"/>
      <c r="C258" s="526"/>
      <c r="D258" s="526"/>
      <c r="E258" s="526"/>
      <c r="F258" s="526"/>
      <c r="G258" s="526"/>
    </row>
    <row r="259" spans="2:7" s="523" customFormat="1" x14ac:dyDescent="0.15">
      <c r="B259" s="527"/>
      <c r="C259" s="526"/>
      <c r="D259" s="526"/>
      <c r="E259" s="526"/>
      <c r="F259" s="526"/>
      <c r="G259" s="526"/>
    </row>
    <row r="260" spans="2:7" s="523" customFormat="1" x14ac:dyDescent="0.15">
      <c r="B260" s="527"/>
      <c r="C260" s="526"/>
      <c r="D260" s="526"/>
      <c r="E260" s="526"/>
      <c r="F260" s="526"/>
      <c r="G260" s="526"/>
    </row>
    <row r="261" spans="2:7" s="523" customFormat="1" x14ac:dyDescent="0.15">
      <c r="B261" s="527"/>
      <c r="C261" s="526"/>
      <c r="D261" s="526"/>
      <c r="E261" s="526"/>
      <c r="F261" s="526"/>
      <c r="G261" s="526"/>
    </row>
    <row r="262" spans="2:7" s="523" customFormat="1" x14ac:dyDescent="0.15">
      <c r="B262" s="527"/>
      <c r="C262" s="526"/>
      <c r="D262" s="526"/>
      <c r="E262" s="526"/>
      <c r="F262" s="526"/>
      <c r="G262" s="526"/>
    </row>
    <row r="263" spans="2:7" s="523" customFormat="1" x14ac:dyDescent="0.15">
      <c r="B263" s="527"/>
      <c r="C263" s="526"/>
      <c r="D263" s="526"/>
      <c r="E263" s="526"/>
      <c r="F263" s="526"/>
      <c r="G263" s="526"/>
    </row>
    <row r="264" spans="2:7" s="523" customFormat="1" x14ac:dyDescent="0.15">
      <c r="B264" s="527"/>
      <c r="C264" s="526"/>
      <c r="D264" s="526"/>
      <c r="E264" s="526"/>
      <c r="F264" s="526"/>
      <c r="G264" s="526"/>
    </row>
    <row r="265" spans="2:7" s="523" customFormat="1" x14ac:dyDescent="0.15">
      <c r="B265" s="527"/>
      <c r="C265" s="526"/>
      <c r="D265" s="526"/>
      <c r="E265" s="526"/>
      <c r="F265" s="526"/>
      <c r="G265" s="526"/>
    </row>
    <row r="266" spans="2:7" s="523" customFormat="1" x14ac:dyDescent="0.15">
      <c r="B266" s="527"/>
      <c r="C266" s="526"/>
      <c r="D266" s="526"/>
      <c r="E266" s="526"/>
      <c r="F266" s="526"/>
      <c r="G266" s="526"/>
    </row>
    <row r="267" spans="2:7" s="523" customFormat="1" x14ac:dyDescent="0.15">
      <c r="B267" s="527"/>
      <c r="C267" s="526"/>
      <c r="D267" s="526"/>
      <c r="E267" s="526"/>
      <c r="F267" s="526"/>
      <c r="G267" s="526"/>
    </row>
    <row r="268" spans="2:7" s="523" customFormat="1" x14ac:dyDescent="0.15">
      <c r="B268" s="527"/>
      <c r="C268" s="526"/>
      <c r="D268" s="526"/>
      <c r="E268" s="526"/>
      <c r="F268" s="526"/>
      <c r="G268" s="526"/>
    </row>
    <row r="269" spans="2:7" s="523" customFormat="1" x14ac:dyDescent="0.15">
      <c r="B269" s="527"/>
      <c r="C269" s="526"/>
      <c r="D269" s="526"/>
      <c r="E269" s="526"/>
      <c r="F269" s="526"/>
      <c r="G269" s="526"/>
    </row>
    <row r="270" spans="2:7" s="523" customFormat="1" x14ac:dyDescent="0.15">
      <c r="B270" s="527"/>
      <c r="C270" s="526"/>
      <c r="D270" s="526"/>
      <c r="E270" s="526"/>
      <c r="F270" s="526"/>
      <c r="G270" s="526"/>
    </row>
    <row r="271" spans="2:7" s="523" customFormat="1" x14ac:dyDescent="0.15">
      <c r="B271" s="527"/>
      <c r="C271" s="526"/>
      <c r="D271" s="526"/>
      <c r="E271" s="526"/>
      <c r="F271" s="526"/>
      <c r="G271" s="526"/>
    </row>
    <row r="272" spans="2:7" s="523" customFormat="1" x14ac:dyDescent="0.15">
      <c r="B272" s="527"/>
      <c r="C272" s="526"/>
      <c r="D272" s="526"/>
      <c r="E272" s="526"/>
      <c r="F272" s="526"/>
      <c r="G272" s="526"/>
    </row>
    <row r="273" spans="2:7" s="523" customFormat="1" x14ac:dyDescent="0.15">
      <c r="B273" s="527"/>
      <c r="C273" s="526"/>
      <c r="D273" s="526"/>
      <c r="E273" s="526"/>
      <c r="F273" s="526"/>
      <c r="G273" s="526"/>
    </row>
    <row r="274" spans="2:7" s="523" customFormat="1" x14ac:dyDescent="0.15">
      <c r="B274" s="527"/>
      <c r="C274" s="526"/>
      <c r="D274" s="526"/>
      <c r="E274" s="526"/>
      <c r="F274" s="526"/>
      <c r="G274" s="526"/>
    </row>
    <row r="275" spans="2:7" s="523" customFormat="1" x14ac:dyDescent="0.15">
      <c r="B275" s="527"/>
      <c r="C275" s="526"/>
      <c r="D275" s="526"/>
      <c r="E275" s="526"/>
      <c r="F275" s="526"/>
      <c r="G275" s="526"/>
    </row>
    <row r="276" spans="2:7" s="523" customFormat="1" x14ac:dyDescent="0.15">
      <c r="B276" s="527"/>
      <c r="C276" s="526"/>
      <c r="D276" s="526"/>
      <c r="E276" s="526"/>
      <c r="F276" s="526"/>
      <c r="G276" s="526"/>
    </row>
    <row r="277" spans="2:7" s="523" customFormat="1" x14ac:dyDescent="0.15">
      <c r="B277" s="527"/>
      <c r="C277" s="526"/>
      <c r="D277" s="526"/>
      <c r="E277" s="526"/>
      <c r="F277" s="526"/>
      <c r="G277" s="526"/>
    </row>
    <row r="278" spans="2:7" s="523" customFormat="1" x14ac:dyDescent="0.15">
      <c r="B278" s="527"/>
      <c r="C278" s="526"/>
      <c r="D278" s="526"/>
      <c r="E278" s="526"/>
      <c r="F278" s="526"/>
      <c r="G278" s="526"/>
    </row>
    <row r="279" spans="2:7" s="523" customFormat="1" x14ac:dyDescent="0.15">
      <c r="B279" s="527"/>
      <c r="C279" s="526"/>
      <c r="D279" s="526"/>
      <c r="E279" s="526"/>
      <c r="F279" s="526"/>
      <c r="G279" s="526"/>
    </row>
    <row r="280" spans="2:7" s="523" customFormat="1" x14ac:dyDescent="0.15">
      <c r="B280" s="527"/>
      <c r="C280" s="526"/>
      <c r="D280" s="526"/>
      <c r="E280" s="526"/>
      <c r="F280" s="526"/>
      <c r="G280" s="526"/>
    </row>
    <row r="281" spans="2:7" s="523" customFormat="1" x14ac:dyDescent="0.15">
      <c r="B281" s="527"/>
      <c r="C281" s="526"/>
      <c r="D281" s="526"/>
      <c r="E281" s="526"/>
      <c r="F281" s="526"/>
      <c r="G281" s="526"/>
    </row>
    <row r="282" spans="2:7" s="523" customFormat="1" x14ac:dyDescent="0.15">
      <c r="B282" s="527"/>
      <c r="C282" s="526"/>
      <c r="D282" s="526"/>
      <c r="E282" s="526"/>
      <c r="F282" s="526"/>
      <c r="G282" s="526"/>
    </row>
    <row r="283" spans="2:7" s="523" customFormat="1" x14ac:dyDescent="0.15">
      <c r="B283" s="527"/>
      <c r="C283" s="526"/>
      <c r="D283" s="526"/>
      <c r="E283" s="526"/>
      <c r="F283" s="526"/>
      <c r="G283" s="526"/>
    </row>
    <row r="284" spans="2:7" s="523" customFormat="1" x14ac:dyDescent="0.15">
      <c r="B284" s="527"/>
      <c r="C284" s="526"/>
      <c r="D284" s="526"/>
      <c r="E284" s="526"/>
      <c r="F284" s="526"/>
      <c r="G284" s="526"/>
    </row>
    <row r="285" spans="2:7" s="523" customFormat="1" x14ac:dyDescent="0.15">
      <c r="B285" s="527"/>
      <c r="C285" s="526"/>
      <c r="D285" s="526"/>
      <c r="E285" s="526"/>
      <c r="F285" s="526"/>
      <c r="G285" s="526"/>
    </row>
    <row r="286" spans="2:7" s="523" customFormat="1" x14ac:dyDescent="0.15">
      <c r="B286" s="527"/>
      <c r="C286" s="526"/>
      <c r="D286" s="526"/>
      <c r="E286" s="526"/>
      <c r="F286" s="526"/>
      <c r="G286" s="526"/>
    </row>
    <row r="287" spans="2:7" s="523" customFormat="1" x14ac:dyDescent="0.15">
      <c r="B287" s="527"/>
      <c r="C287" s="526"/>
      <c r="D287" s="526"/>
      <c r="E287" s="526"/>
      <c r="F287" s="526"/>
      <c r="G287" s="526"/>
    </row>
    <row r="288" spans="2:7" s="523" customFormat="1" x14ac:dyDescent="0.15">
      <c r="B288" s="527"/>
      <c r="C288" s="526"/>
      <c r="D288" s="526"/>
      <c r="E288" s="526"/>
      <c r="F288" s="526"/>
      <c r="G288" s="526"/>
    </row>
    <row r="289" spans="2:7" s="523" customFormat="1" x14ac:dyDescent="0.15">
      <c r="B289" s="527"/>
      <c r="C289" s="526"/>
      <c r="D289" s="526"/>
      <c r="E289" s="526"/>
      <c r="F289" s="526"/>
      <c r="G289" s="526"/>
    </row>
    <row r="290" spans="2:7" s="523" customFormat="1" x14ac:dyDescent="0.15">
      <c r="B290" s="527"/>
      <c r="C290" s="526"/>
      <c r="D290" s="526"/>
      <c r="E290" s="526"/>
      <c r="F290" s="526"/>
      <c r="G290" s="526"/>
    </row>
    <row r="291" spans="2:7" s="523" customFormat="1" x14ac:dyDescent="0.15">
      <c r="B291" s="527"/>
      <c r="C291" s="526"/>
      <c r="D291" s="526"/>
      <c r="E291" s="526"/>
      <c r="F291" s="526"/>
      <c r="G291" s="526"/>
    </row>
    <row r="292" spans="2:7" s="523" customFormat="1" x14ac:dyDescent="0.15">
      <c r="B292" s="527"/>
      <c r="C292" s="526"/>
      <c r="D292" s="526"/>
      <c r="E292" s="526"/>
      <c r="F292" s="526"/>
      <c r="G292" s="526"/>
    </row>
    <row r="293" spans="2:7" s="523" customFormat="1" x14ac:dyDescent="0.15">
      <c r="B293" s="527"/>
      <c r="C293" s="526"/>
      <c r="D293" s="526"/>
      <c r="E293" s="526"/>
      <c r="F293" s="526"/>
      <c r="G293" s="526"/>
    </row>
    <row r="294" spans="2:7" s="523" customFormat="1" x14ac:dyDescent="0.15">
      <c r="B294" s="527"/>
      <c r="C294" s="526"/>
      <c r="D294" s="526"/>
      <c r="E294" s="526"/>
      <c r="F294" s="526"/>
      <c r="G294" s="526"/>
    </row>
    <row r="295" spans="2:7" s="523" customFormat="1" x14ac:dyDescent="0.15">
      <c r="B295" s="527"/>
      <c r="C295" s="526"/>
      <c r="D295" s="526"/>
      <c r="E295" s="526"/>
      <c r="F295" s="526"/>
      <c r="G295" s="526"/>
    </row>
    <row r="296" spans="2:7" s="523" customFormat="1" x14ac:dyDescent="0.15">
      <c r="B296" s="527"/>
      <c r="C296" s="526"/>
      <c r="D296" s="526"/>
      <c r="E296" s="526"/>
      <c r="F296" s="526"/>
      <c r="G296" s="526"/>
    </row>
    <row r="297" spans="2:7" s="523" customFormat="1" x14ac:dyDescent="0.15">
      <c r="B297" s="527"/>
      <c r="C297" s="526"/>
      <c r="D297" s="526"/>
      <c r="E297" s="526"/>
      <c r="F297" s="526"/>
      <c r="G297" s="526"/>
    </row>
    <row r="298" spans="2:7" s="523" customFormat="1" x14ac:dyDescent="0.15">
      <c r="B298" s="527"/>
      <c r="C298" s="526"/>
      <c r="D298" s="526"/>
      <c r="E298" s="526"/>
      <c r="F298" s="526"/>
      <c r="G298" s="526"/>
    </row>
    <row r="299" spans="2:7" s="523" customFormat="1" x14ac:dyDescent="0.15">
      <c r="B299" s="527"/>
      <c r="C299" s="526"/>
      <c r="D299" s="526"/>
      <c r="E299" s="526"/>
      <c r="F299" s="526"/>
      <c r="G299" s="526"/>
    </row>
    <row r="300" spans="2:7" s="523" customFormat="1" x14ac:dyDescent="0.15">
      <c r="B300" s="527"/>
      <c r="C300" s="526"/>
      <c r="D300" s="526"/>
      <c r="E300" s="526"/>
      <c r="F300" s="526"/>
      <c r="G300" s="526"/>
    </row>
    <row r="301" spans="2:7" s="523" customFormat="1" x14ac:dyDescent="0.15">
      <c r="B301" s="527"/>
      <c r="C301" s="526"/>
      <c r="D301" s="526"/>
      <c r="E301" s="526"/>
      <c r="F301" s="526"/>
      <c r="G301" s="526"/>
    </row>
    <row r="302" spans="2:7" s="523" customFormat="1" x14ac:dyDescent="0.15">
      <c r="B302" s="527"/>
      <c r="C302" s="526"/>
      <c r="D302" s="526"/>
      <c r="E302" s="526"/>
      <c r="F302" s="526"/>
      <c r="G302" s="526"/>
    </row>
    <row r="303" spans="2:7" s="523" customFormat="1" x14ac:dyDescent="0.15">
      <c r="B303" s="527"/>
      <c r="C303" s="526"/>
      <c r="D303" s="526"/>
      <c r="E303" s="526"/>
      <c r="F303" s="526"/>
      <c r="G303" s="526"/>
    </row>
    <row r="304" spans="2:7" s="523" customFormat="1" x14ac:dyDescent="0.15">
      <c r="B304" s="527"/>
      <c r="C304" s="526"/>
      <c r="D304" s="526"/>
      <c r="E304" s="526"/>
      <c r="F304" s="526"/>
      <c r="G304" s="526"/>
    </row>
    <row r="305" spans="2:7" s="523" customFormat="1" x14ac:dyDescent="0.15">
      <c r="B305" s="527"/>
      <c r="C305" s="526"/>
      <c r="D305" s="526"/>
      <c r="E305" s="526"/>
      <c r="F305" s="526"/>
      <c r="G305" s="526"/>
    </row>
    <row r="306" spans="2:7" s="523" customFormat="1" x14ac:dyDescent="0.15">
      <c r="B306" s="527"/>
      <c r="C306" s="526"/>
      <c r="D306" s="526"/>
      <c r="E306" s="526"/>
      <c r="F306" s="526"/>
      <c r="G306" s="526"/>
    </row>
    <row r="307" spans="2:7" s="523" customFormat="1" x14ac:dyDescent="0.15">
      <c r="B307" s="527"/>
      <c r="C307" s="526"/>
      <c r="D307" s="526"/>
      <c r="E307" s="526"/>
      <c r="F307" s="526"/>
      <c r="G307" s="526"/>
    </row>
    <row r="308" spans="2:7" s="523" customFormat="1" x14ac:dyDescent="0.15">
      <c r="B308" s="527"/>
      <c r="C308" s="526"/>
      <c r="D308" s="526"/>
      <c r="E308" s="526"/>
      <c r="F308" s="526"/>
      <c r="G308" s="526"/>
    </row>
    <row r="309" spans="2:7" s="523" customFormat="1" x14ac:dyDescent="0.15">
      <c r="B309" s="527"/>
      <c r="C309" s="526"/>
      <c r="D309" s="526"/>
      <c r="E309" s="526"/>
      <c r="F309" s="526"/>
      <c r="G309" s="526"/>
    </row>
    <row r="310" spans="2:7" s="523" customFormat="1" x14ac:dyDescent="0.15">
      <c r="B310" s="527"/>
      <c r="C310" s="526"/>
      <c r="D310" s="526"/>
      <c r="E310" s="526"/>
      <c r="F310" s="526"/>
      <c r="G310" s="526"/>
    </row>
    <row r="311" spans="2:7" s="523" customFormat="1" x14ac:dyDescent="0.15">
      <c r="B311" s="527"/>
      <c r="C311" s="526"/>
      <c r="D311" s="526"/>
      <c r="E311" s="526"/>
      <c r="F311" s="526"/>
      <c r="G311" s="526"/>
    </row>
    <row r="312" spans="2:7" s="523" customFormat="1" x14ac:dyDescent="0.15">
      <c r="B312" s="527"/>
      <c r="C312" s="526"/>
      <c r="D312" s="526"/>
      <c r="E312" s="526"/>
      <c r="F312" s="526"/>
      <c r="G312" s="526"/>
    </row>
    <row r="313" spans="2:7" s="523" customFormat="1" x14ac:dyDescent="0.15">
      <c r="B313" s="527"/>
      <c r="C313" s="526"/>
      <c r="D313" s="526"/>
      <c r="E313" s="526"/>
      <c r="F313" s="526"/>
      <c r="G313" s="526"/>
    </row>
    <row r="314" spans="2:7" s="523" customFormat="1" x14ac:dyDescent="0.15">
      <c r="B314" s="527"/>
      <c r="C314" s="526"/>
      <c r="D314" s="526"/>
      <c r="E314" s="526"/>
      <c r="F314" s="526"/>
      <c r="G314" s="526"/>
    </row>
    <row r="315" spans="2:7" s="523" customFormat="1" x14ac:dyDescent="0.15">
      <c r="B315" s="527"/>
      <c r="C315" s="526"/>
      <c r="D315" s="526"/>
      <c r="E315" s="526"/>
      <c r="F315" s="526"/>
      <c r="G315" s="526"/>
    </row>
    <row r="316" spans="2:7" s="523" customFormat="1" x14ac:dyDescent="0.15">
      <c r="B316" s="527"/>
      <c r="C316" s="526"/>
      <c r="D316" s="526"/>
      <c r="E316" s="526"/>
      <c r="F316" s="526"/>
      <c r="G316" s="526"/>
    </row>
    <row r="317" spans="2:7" s="523" customFormat="1" x14ac:dyDescent="0.15">
      <c r="B317" s="527"/>
      <c r="C317" s="526"/>
      <c r="D317" s="526"/>
      <c r="E317" s="526"/>
      <c r="F317" s="526"/>
      <c r="G317" s="526"/>
    </row>
    <row r="318" spans="2:7" s="523" customFormat="1" x14ac:dyDescent="0.15">
      <c r="B318" s="527"/>
      <c r="C318" s="526"/>
      <c r="D318" s="526"/>
      <c r="E318" s="526"/>
      <c r="F318" s="526"/>
      <c r="G318" s="526"/>
    </row>
    <row r="319" spans="2:7" s="523" customFormat="1" x14ac:dyDescent="0.15">
      <c r="B319" s="527"/>
      <c r="C319" s="526"/>
      <c r="D319" s="526"/>
      <c r="E319" s="526"/>
      <c r="F319" s="526"/>
      <c r="G319" s="526"/>
    </row>
    <row r="320" spans="2:7" s="523" customFormat="1" x14ac:dyDescent="0.15">
      <c r="B320" s="527"/>
      <c r="C320" s="526"/>
      <c r="D320" s="526"/>
      <c r="E320" s="526"/>
      <c r="F320" s="526"/>
      <c r="G320" s="526"/>
    </row>
    <row r="321" spans="2:7" s="523" customFormat="1" x14ac:dyDescent="0.15">
      <c r="B321" s="527"/>
      <c r="C321" s="526"/>
      <c r="D321" s="526"/>
      <c r="E321" s="526"/>
      <c r="F321" s="526"/>
      <c r="G321" s="526"/>
    </row>
    <row r="322" spans="2:7" s="523" customFormat="1" x14ac:dyDescent="0.15">
      <c r="B322" s="527"/>
      <c r="C322" s="526"/>
      <c r="D322" s="526"/>
      <c r="E322" s="526"/>
      <c r="F322" s="526"/>
      <c r="G322" s="526"/>
    </row>
    <row r="323" spans="2:7" s="523" customFormat="1" x14ac:dyDescent="0.15">
      <c r="B323" s="527"/>
      <c r="C323" s="526"/>
      <c r="D323" s="526"/>
      <c r="E323" s="526"/>
      <c r="F323" s="526"/>
      <c r="G323" s="526"/>
    </row>
    <row r="324" spans="2:7" s="523" customFormat="1" x14ac:dyDescent="0.15">
      <c r="B324" s="527"/>
      <c r="C324" s="526"/>
      <c r="D324" s="526"/>
      <c r="E324" s="526"/>
      <c r="F324" s="526"/>
      <c r="G324" s="526"/>
    </row>
    <row r="325" spans="2:7" s="523" customFormat="1" x14ac:dyDescent="0.15">
      <c r="B325" s="527"/>
      <c r="C325" s="526"/>
      <c r="D325" s="526"/>
      <c r="E325" s="526"/>
      <c r="F325" s="526"/>
      <c r="G325" s="526"/>
    </row>
    <row r="326" spans="2:7" s="523" customFormat="1" x14ac:dyDescent="0.15">
      <c r="B326" s="527"/>
      <c r="C326" s="526"/>
      <c r="D326" s="526"/>
      <c r="E326" s="526"/>
      <c r="F326" s="526"/>
      <c r="G326" s="526"/>
    </row>
    <row r="327" spans="2:7" s="523" customFormat="1" x14ac:dyDescent="0.15">
      <c r="B327" s="527"/>
      <c r="C327" s="526"/>
      <c r="D327" s="526"/>
      <c r="E327" s="526"/>
      <c r="F327" s="526"/>
      <c r="G327" s="526"/>
    </row>
    <row r="328" spans="2:7" s="523" customFormat="1" x14ac:dyDescent="0.15">
      <c r="B328" s="527"/>
      <c r="C328" s="526"/>
      <c r="D328" s="526"/>
      <c r="E328" s="526"/>
      <c r="F328" s="526"/>
      <c r="G328" s="526"/>
    </row>
    <row r="329" spans="2:7" s="523" customFormat="1" x14ac:dyDescent="0.15">
      <c r="B329" s="527"/>
      <c r="C329" s="526"/>
      <c r="D329" s="526"/>
      <c r="E329" s="526"/>
      <c r="F329" s="526"/>
      <c r="G329" s="526"/>
    </row>
    <row r="330" spans="2:7" s="523" customFormat="1" x14ac:dyDescent="0.15">
      <c r="B330" s="527"/>
      <c r="C330" s="526"/>
      <c r="D330" s="526"/>
      <c r="E330" s="526"/>
      <c r="F330" s="526"/>
      <c r="G330" s="526"/>
    </row>
    <row r="331" spans="2:7" s="523" customFormat="1" x14ac:dyDescent="0.15">
      <c r="B331" s="527"/>
      <c r="C331" s="526"/>
      <c r="D331" s="526"/>
      <c r="E331" s="526"/>
      <c r="F331" s="526"/>
      <c r="G331" s="526"/>
    </row>
    <row r="332" spans="2:7" s="523" customFormat="1" x14ac:dyDescent="0.15">
      <c r="B332" s="527"/>
      <c r="C332" s="526"/>
      <c r="D332" s="526"/>
      <c r="E332" s="526"/>
      <c r="F332" s="526"/>
      <c r="G332" s="526"/>
    </row>
    <row r="333" spans="2:7" s="523" customFormat="1" x14ac:dyDescent="0.15">
      <c r="B333" s="527"/>
      <c r="C333" s="526"/>
      <c r="D333" s="526"/>
      <c r="E333" s="526"/>
      <c r="F333" s="526"/>
      <c r="G333" s="526"/>
    </row>
    <row r="334" spans="2:7" s="523" customFormat="1" x14ac:dyDescent="0.15">
      <c r="B334" s="527"/>
      <c r="C334" s="526"/>
      <c r="D334" s="526"/>
      <c r="E334" s="526"/>
      <c r="F334" s="526"/>
      <c r="G334" s="526"/>
    </row>
    <row r="335" spans="2:7" s="523" customFormat="1" x14ac:dyDescent="0.15">
      <c r="B335" s="527"/>
      <c r="C335" s="526"/>
      <c r="D335" s="526"/>
      <c r="E335" s="526"/>
      <c r="F335" s="526"/>
      <c r="G335" s="526"/>
    </row>
    <row r="336" spans="2:7" s="523" customFormat="1" x14ac:dyDescent="0.15">
      <c r="B336" s="527"/>
      <c r="C336" s="526"/>
      <c r="D336" s="526"/>
      <c r="E336" s="526"/>
      <c r="F336" s="526"/>
      <c r="G336" s="526"/>
    </row>
    <row r="337" spans="2:7" s="523" customFormat="1" x14ac:dyDescent="0.15">
      <c r="B337" s="527"/>
      <c r="C337" s="526"/>
      <c r="D337" s="526"/>
      <c r="E337" s="526"/>
      <c r="F337" s="526"/>
      <c r="G337" s="526"/>
    </row>
    <row r="338" spans="2:7" s="523" customFormat="1" x14ac:dyDescent="0.15">
      <c r="B338" s="527"/>
      <c r="C338" s="526"/>
      <c r="D338" s="526"/>
      <c r="E338" s="526"/>
      <c r="F338" s="526"/>
      <c r="G338" s="526"/>
    </row>
    <row r="339" spans="2:7" s="523" customFormat="1" x14ac:dyDescent="0.15">
      <c r="B339" s="527"/>
      <c r="C339" s="526"/>
      <c r="D339" s="526"/>
      <c r="E339" s="526"/>
      <c r="F339" s="526"/>
      <c r="G339" s="526"/>
    </row>
    <row r="340" spans="2:7" s="523" customFormat="1" x14ac:dyDescent="0.15">
      <c r="B340" s="527"/>
      <c r="C340" s="526"/>
      <c r="D340" s="526"/>
      <c r="E340" s="526"/>
      <c r="F340" s="526"/>
      <c r="G340" s="526"/>
    </row>
    <row r="341" spans="2:7" s="523" customFormat="1" x14ac:dyDescent="0.15">
      <c r="B341" s="527"/>
      <c r="C341" s="526"/>
      <c r="D341" s="526"/>
      <c r="E341" s="526"/>
      <c r="F341" s="526"/>
      <c r="G341" s="526"/>
    </row>
    <row r="342" spans="2:7" s="523" customFormat="1" x14ac:dyDescent="0.15">
      <c r="B342" s="527"/>
      <c r="C342" s="526"/>
      <c r="D342" s="526"/>
      <c r="E342" s="526"/>
      <c r="F342" s="526"/>
      <c r="G342" s="526"/>
    </row>
    <row r="343" spans="2:7" s="523" customFormat="1" x14ac:dyDescent="0.15">
      <c r="B343" s="527"/>
      <c r="C343" s="526"/>
      <c r="D343" s="526"/>
      <c r="E343" s="526"/>
      <c r="F343" s="526"/>
      <c r="G343" s="526"/>
    </row>
    <row r="344" spans="2:7" s="523" customFormat="1" x14ac:dyDescent="0.15">
      <c r="B344" s="527"/>
      <c r="C344" s="526"/>
      <c r="D344" s="526"/>
      <c r="E344" s="526"/>
      <c r="F344" s="526"/>
      <c r="G344" s="526"/>
    </row>
    <row r="345" spans="2:7" s="523" customFormat="1" x14ac:dyDescent="0.15">
      <c r="B345" s="527"/>
      <c r="C345" s="526"/>
      <c r="D345" s="526"/>
      <c r="E345" s="526"/>
      <c r="F345" s="526"/>
      <c r="G345" s="526"/>
    </row>
    <row r="346" spans="2:7" s="523" customFormat="1" x14ac:dyDescent="0.15">
      <c r="B346" s="527"/>
      <c r="C346" s="526"/>
      <c r="D346" s="526"/>
      <c r="E346" s="526"/>
      <c r="F346" s="526"/>
      <c r="G346" s="526"/>
    </row>
    <row r="347" spans="2:7" s="523" customFormat="1" x14ac:dyDescent="0.15">
      <c r="B347" s="527"/>
      <c r="C347" s="526"/>
      <c r="D347" s="526"/>
      <c r="E347" s="526"/>
      <c r="F347" s="526"/>
      <c r="G347" s="526"/>
    </row>
    <row r="348" spans="2:7" s="523" customFormat="1" x14ac:dyDescent="0.15">
      <c r="B348" s="527"/>
      <c r="C348" s="526"/>
      <c r="D348" s="526"/>
      <c r="E348" s="526"/>
      <c r="F348" s="526"/>
      <c r="G348" s="526"/>
    </row>
    <row r="349" spans="2:7" s="523" customFormat="1" x14ac:dyDescent="0.15">
      <c r="B349" s="527"/>
      <c r="C349" s="526"/>
      <c r="D349" s="526"/>
      <c r="E349" s="526"/>
      <c r="F349" s="526"/>
      <c r="G349" s="526"/>
    </row>
    <row r="350" spans="2:7" s="523" customFormat="1" x14ac:dyDescent="0.15">
      <c r="B350" s="527"/>
      <c r="C350" s="526"/>
      <c r="D350" s="526"/>
      <c r="E350" s="526"/>
      <c r="F350" s="526"/>
      <c r="G350" s="526"/>
    </row>
    <row r="351" spans="2:7" s="523" customFormat="1" x14ac:dyDescent="0.15">
      <c r="B351" s="527"/>
      <c r="C351" s="526"/>
      <c r="D351" s="526"/>
      <c r="E351" s="526"/>
      <c r="F351" s="526"/>
      <c r="G351" s="526"/>
    </row>
    <row r="352" spans="2:7" s="523" customFormat="1" x14ac:dyDescent="0.15">
      <c r="B352" s="527"/>
      <c r="C352" s="526"/>
      <c r="D352" s="526"/>
      <c r="E352" s="526"/>
      <c r="F352" s="526"/>
      <c r="G352" s="526"/>
    </row>
    <row r="353" spans="2:7" s="523" customFormat="1" x14ac:dyDescent="0.15">
      <c r="B353" s="527"/>
      <c r="C353" s="526"/>
      <c r="D353" s="526"/>
      <c r="E353" s="526"/>
      <c r="F353" s="526"/>
      <c r="G353" s="526"/>
    </row>
    <row r="354" spans="2:7" s="523" customFormat="1" x14ac:dyDescent="0.15">
      <c r="B354" s="527"/>
      <c r="C354" s="526"/>
      <c r="D354" s="526"/>
      <c r="E354" s="526"/>
      <c r="F354" s="526"/>
      <c r="G354" s="526"/>
    </row>
    <row r="355" spans="2:7" s="523" customFormat="1" x14ac:dyDescent="0.15">
      <c r="B355" s="527"/>
      <c r="C355" s="526"/>
      <c r="D355" s="526"/>
      <c r="E355" s="526"/>
      <c r="F355" s="526"/>
      <c r="G355" s="526"/>
    </row>
    <row r="356" spans="2:7" s="523" customFormat="1" x14ac:dyDescent="0.15">
      <c r="B356" s="527"/>
      <c r="C356" s="526"/>
      <c r="D356" s="526"/>
      <c r="E356" s="526"/>
      <c r="F356" s="526"/>
      <c r="G356" s="526"/>
    </row>
    <row r="357" spans="2:7" s="523" customFormat="1" x14ac:dyDescent="0.15">
      <c r="B357" s="527"/>
      <c r="C357" s="526"/>
      <c r="D357" s="526"/>
      <c r="E357" s="526"/>
      <c r="F357" s="526"/>
      <c r="G357" s="526"/>
    </row>
    <row r="358" spans="2:7" s="523" customFormat="1" x14ac:dyDescent="0.15">
      <c r="B358" s="527"/>
      <c r="C358" s="526"/>
      <c r="D358" s="526"/>
      <c r="E358" s="526"/>
      <c r="F358" s="526"/>
      <c r="G358" s="526"/>
    </row>
    <row r="359" spans="2:7" s="523" customFormat="1" x14ac:dyDescent="0.15">
      <c r="B359" s="527"/>
      <c r="C359" s="526"/>
      <c r="D359" s="526"/>
      <c r="E359" s="526"/>
      <c r="F359" s="526"/>
      <c r="G359" s="526"/>
    </row>
    <row r="360" spans="2:7" s="523" customFormat="1" x14ac:dyDescent="0.15">
      <c r="B360" s="527"/>
      <c r="C360" s="526"/>
      <c r="D360" s="526"/>
      <c r="E360" s="526"/>
      <c r="F360" s="526"/>
      <c r="G360" s="526"/>
    </row>
    <row r="361" spans="2:7" s="523" customFormat="1" x14ac:dyDescent="0.15">
      <c r="B361" s="527"/>
      <c r="C361" s="526"/>
      <c r="D361" s="526"/>
      <c r="E361" s="526"/>
      <c r="F361" s="526"/>
      <c r="G361" s="526"/>
    </row>
    <row r="362" spans="2:7" s="523" customFormat="1" x14ac:dyDescent="0.15">
      <c r="B362" s="527"/>
      <c r="C362" s="526"/>
      <c r="D362" s="526"/>
      <c r="E362" s="526"/>
      <c r="F362" s="526"/>
      <c r="G362" s="526"/>
    </row>
    <row r="363" spans="2:7" s="523" customFormat="1" x14ac:dyDescent="0.15">
      <c r="B363" s="527"/>
      <c r="C363" s="526"/>
      <c r="D363" s="526"/>
      <c r="E363" s="526"/>
      <c r="F363" s="526"/>
      <c r="G363" s="526"/>
    </row>
    <row r="364" spans="2:7" s="523" customFormat="1" x14ac:dyDescent="0.15">
      <c r="B364" s="527"/>
      <c r="C364" s="526"/>
      <c r="D364" s="526"/>
      <c r="E364" s="526"/>
      <c r="F364" s="526"/>
      <c r="G364" s="526"/>
    </row>
    <row r="365" spans="2:7" s="523" customFormat="1" x14ac:dyDescent="0.15">
      <c r="B365" s="527"/>
      <c r="C365" s="526"/>
      <c r="D365" s="526"/>
      <c r="E365" s="526"/>
      <c r="F365" s="526"/>
      <c r="G365" s="526"/>
    </row>
    <row r="366" spans="2:7" s="523" customFormat="1" x14ac:dyDescent="0.15">
      <c r="B366" s="527"/>
      <c r="C366" s="526"/>
      <c r="D366" s="526"/>
      <c r="E366" s="526"/>
      <c r="F366" s="526"/>
      <c r="G366" s="526"/>
    </row>
    <row r="367" spans="2:7" s="523" customFormat="1" x14ac:dyDescent="0.15">
      <c r="B367" s="527"/>
      <c r="C367" s="526"/>
      <c r="D367" s="526"/>
      <c r="E367" s="526"/>
      <c r="F367" s="526"/>
      <c r="G367" s="526"/>
    </row>
    <row r="368" spans="2:7" s="523" customFormat="1" x14ac:dyDescent="0.15">
      <c r="B368" s="527"/>
      <c r="C368" s="526"/>
      <c r="D368" s="526"/>
      <c r="E368" s="526"/>
      <c r="F368" s="526"/>
      <c r="G368" s="526"/>
    </row>
    <row r="369" spans="2:7" s="523" customFormat="1" x14ac:dyDescent="0.15">
      <c r="B369" s="527"/>
      <c r="C369" s="526"/>
      <c r="D369" s="526"/>
      <c r="E369" s="526"/>
      <c r="F369" s="526"/>
      <c r="G369" s="526"/>
    </row>
    <row r="370" spans="2:7" s="523" customFormat="1" x14ac:dyDescent="0.15">
      <c r="B370" s="527"/>
      <c r="C370" s="526"/>
      <c r="D370" s="526"/>
      <c r="E370" s="526"/>
      <c r="F370" s="526"/>
      <c r="G370" s="526"/>
    </row>
    <row r="371" spans="2:7" s="523" customFormat="1" x14ac:dyDescent="0.15">
      <c r="B371" s="527"/>
      <c r="C371" s="526"/>
      <c r="D371" s="526"/>
      <c r="E371" s="526"/>
      <c r="F371" s="526"/>
      <c r="G371" s="526"/>
    </row>
    <row r="372" spans="2:7" s="523" customFormat="1" x14ac:dyDescent="0.15">
      <c r="B372" s="527"/>
      <c r="C372" s="526"/>
      <c r="D372" s="526"/>
      <c r="E372" s="526"/>
      <c r="F372" s="526"/>
      <c r="G372" s="526"/>
    </row>
    <row r="373" spans="2:7" s="523" customFormat="1" x14ac:dyDescent="0.15">
      <c r="B373" s="527"/>
      <c r="C373" s="526"/>
      <c r="D373" s="526"/>
      <c r="E373" s="526"/>
      <c r="F373" s="526"/>
      <c r="G373" s="526"/>
    </row>
    <row r="374" spans="2:7" s="523" customFormat="1" x14ac:dyDescent="0.15">
      <c r="B374" s="527"/>
      <c r="C374" s="526"/>
      <c r="D374" s="526"/>
      <c r="E374" s="526"/>
      <c r="F374" s="526"/>
      <c r="G374" s="526"/>
    </row>
    <row r="375" spans="2:7" s="523" customFormat="1" x14ac:dyDescent="0.15">
      <c r="B375" s="527"/>
      <c r="C375" s="526"/>
      <c r="D375" s="526"/>
      <c r="E375" s="526"/>
      <c r="F375" s="526"/>
      <c r="G375" s="526"/>
    </row>
    <row r="376" spans="2:7" s="523" customFormat="1" x14ac:dyDescent="0.15">
      <c r="B376" s="527"/>
      <c r="C376" s="526"/>
      <c r="D376" s="526"/>
      <c r="E376" s="526"/>
      <c r="F376" s="526"/>
      <c r="G376" s="526"/>
    </row>
    <row r="377" spans="2:7" s="523" customFormat="1" x14ac:dyDescent="0.15">
      <c r="B377" s="527"/>
      <c r="C377" s="526"/>
      <c r="D377" s="526"/>
      <c r="E377" s="526"/>
      <c r="F377" s="526"/>
      <c r="G377" s="526"/>
    </row>
    <row r="378" spans="2:7" s="523" customFormat="1" x14ac:dyDescent="0.15">
      <c r="B378" s="527"/>
      <c r="C378" s="526"/>
      <c r="D378" s="526"/>
      <c r="E378" s="526"/>
      <c r="F378" s="526"/>
      <c r="G378" s="526"/>
    </row>
    <row r="379" spans="2:7" s="523" customFormat="1" x14ac:dyDescent="0.15">
      <c r="B379" s="527"/>
      <c r="C379" s="526"/>
      <c r="D379" s="526"/>
      <c r="E379" s="526"/>
      <c r="F379" s="526"/>
      <c r="G379" s="526"/>
    </row>
    <row r="380" spans="2:7" s="523" customFormat="1" x14ac:dyDescent="0.15">
      <c r="B380" s="527"/>
      <c r="C380" s="526"/>
      <c r="D380" s="526"/>
      <c r="E380" s="526"/>
      <c r="F380" s="526"/>
      <c r="G380" s="526"/>
    </row>
    <row r="381" spans="2:7" s="523" customFormat="1" x14ac:dyDescent="0.15">
      <c r="B381" s="527"/>
      <c r="C381" s="526"/>
      <c r="D381" s="526"/>
      <c r="E381" s="526"/>
      <c r="F381" s="526"/>
      <c r="G381" s="526"/>
    </row>
    <row r="382" spans="2:7" s="523" customFormat="1" x14ac:dyDescent="0.15">
      <c r="B382" s="527"/>
      <c r="C382" s="526"/>
      <c r="D382" s="526"/>
      <c r="E382" s="526"/>
      <c r="F382" s="526"/>
      <c r="G382" s="526"/>
    </row>
    <row r="383" spans="2:7" s="523" customFormat="1" x14ac:dyDescent="0.15">
      <c r="B383" s="527"/>
      <c r="C383" s="526"/>
      <c r="D383" s="526"/>
      <c r="E383" s="526"/>
      <c r="F383" s="526"/>
      <c r="G383" s="526"/>
    </row>
    <row r="384" spans="2:7" s="523" customFormat="1" x14ac:dyDescent="0.15">
      <c r="B384" s="527"/>
      <c r="C384" s="526"/>
      <c r="D384" s="526"/>
      <c r="E384" s="526"/>
      <c r="F384" s="526"/>
      <c r="G384" s="526"/>
    </row>
    <row r="385" spans="2:7" s="523" customFormat="1" x14ac:dyDescent="0.15">
      <c r="B385" s="527"/>
      <c r="C385" s="526"/>
      <c r="D385" s="526"/>
      <c r="E385" s="526"/>
      <c r="F385" s="526"/>
      <c r="G385" s="526"/>
    </row>
    <row r="386" spans="2:7" s="523" customFormat="1" x14ac:dyDescent="0.15">
      <c r="B386" s="527"/>
      <c r="C386" s="526"/>
      <c r="D386" s="526"/>
      <c r="E386" s="526"/>
      <c r="F386" s="526"/>
      <c r="G386" s="526"/>
    </row>
    <row r="387" spans="2:7" s="523" customFormat="1" x14ac:dyDescent="0.15">
      <c r="B387" s="527"/>
      <c r="C387" s="526"/>
      <c r="D387" s="526"/>
      <c r="E387" s="526"/>
      <c r="F387" s="526"/>
      <c r="G387" s="526"/>
    </row>
    <row r="388" spans="2:7" s="523" customFormat="1" x14ac:dyDescent="0.15">
      <c r="B388" s="527"/>
      <c r="C388" s="526"/>
      <c r="D388" s="526"/>
      <c r="E388" s="526"/>
      <c r="F388" s="526"/>
      <c r="G388" s="526"/>
    </row>
    <row r="389" spans="2:7" s="523" customFormat="1" x14ac:dyDescent="0.15">
      <c r="B389" s="527"/>
      <c r="C389" s="526"/>
      <c r="D389" s="526"/>
      <c r="E389" s="526"/>
      <c r="F389" s="526"/>
      <c r="G389" s="526"/>
    </row>
    <row r="390" spans="2:7" s="523" customFormat="1" x14ac:dyDescent="0.15">
      <c r="B390" s="527"/>
      <c r="C390" s="526"/>
      <c r="D390" s="526"/>
      <c r="E390" s="526"/>
      <c r="F390" s="526"/>
      <c r="G390" s="526"/>
    </row>
    <row r="391" spans="2:7" s="523" customFormat="1" x14ac:dyDescent="0.15">
      <c r="B391" s="527"/>
      <c r="C391" s="526"/>
      <c r="D391" s="526"/>
      <c r="E391" s="526"/>
      <c r="F391" s="526"/>
      <c r="G391" s="526"/>
    </row>
    <row r="392" spans="2:7" s="523" customFormat="1" x14ac:dyDescent="0.15">
      <c r="B392" s="527"/>
      <c r="C392" s="526"/>
      <c r="D392" s="526"/>
      <c r="E392" s="526"/>
      <c r="F392" s="526"/>
      <c r="G392" s="526"/>
    </row>
    <row r="393" spans="2:7" s="523" customFormat="1" x14ac:dyDescent="0.15">
      <c r="B393" s="527"/>
      <c r="C393" s="526"/>
      <c r="D393" s="526"/>
      <c r="E393" s="526"/>
      <c r="F393" s="526"/>
      <c r="G393" s="526"/>
    </row>
    <row r="394" spans="2:7" s="523" customFormat="1" x14ac:dyDescent="0.15">
      <c r="B394" s="527"/>
      <c r="C394" s="526"/>
      <c r="D394" s="526"/>
      <c r="E394" s="526"/>
      <c r="F394" s="526"/>
      <c r="G394" s="526"/>
    </row>
    <row r="395" spans="2:7" s="523" customFormat="1" x14ac:dyDescent="0.15">
      <c r="B395" s="527"/>
      <c r="C395" s="526"/>
      <c r="D395" s="526"/>
      <c r="E395" s="526"/>
      <c r="F395" s="526"/>
      <c r="G395" s="526"/>
    </row>
    <row r="396" spans="2:7" s="523" customFormat="1" x14ac:dyDescent="0.15">
      <c r="B396" s="527"/>
      <c r="C396" s="526"/>
      <c r="D396" s="526"/>
      <c r="E396" s="526"/>
      <c r="F396" s="526"/>
      <c r="G396" s="526"/>
    </row>
    <row r="397" spans="2:7" s="523" customFormat="1" x14ac:dyDescent="0.15">
      <c r="B397" s="527"/>
      <c r="C397" s="526"/>
      <c r="D397" s="526"/>
      <c r="E397" s="526"/>
      <c r="F397" s="526"/>
      <c r="G397" s="526"/>
    </row>
    <row r="398" spans="2:7" s="523" customFormat="1" x14ac:dyDescent="0.15">
      <c r="B398" s="527"/>
      <c r="C398" s="526"/>
      <c r="D398" s="526"/>
      <c r="E398" s="526"/>
      <c r="F398" s="526"/>
      <c r="G398" s="526"/>
    </row>
    <row r="399" spans="2:7" s="523" customFormat="1" x14ac:dyDescent="0.15">
      <c r="B399" s="527"/>
      <c r="C399" s="526"/>
      <c r="D399" s="526"/>
      <c r="E399" s="526"/>
      <c r="F399" s="526"/>
      <c r="G399" s="526"/>
    </row>
    <row r="400" spans="2:7" s="523" customFormat="1" x14ac:dyDescent="0.15">
      <c r="B400" s="527"/>
      <c r="C400" s="526"/>
      <c r="D400" s="526"/>
      <c r="E400" s="526"/>
      <c r="F400" s="526"/>
      <c r="G400" s="526"/>
    </row>
    <row r="401" spans="2:7" s="523" customFormat="1" x14ac:dyDescent="0.15">
      <c r="B401" s="527"/>
      <c r="C401" s="526"/>
      <c r="D401" s="526"/>
      <c r="E401" s="526"/>
      <c r="F401" s="526"/>
      <c r="G401" s="526"/>
    </row>
    <row r="402" spans="2:7" s="523" customFormat="1" x14ac:dyDescent="0.15">
      <c r="B402" s="527"/>
      <c r="C402" s="526"/>
      <c r="D402" s="526"/>
      <c r="E402" s="526"/>
      <c r="F402" s="526"/>
      <c r="G402" s="526"/>
    </row>
    <row r="403" spans="2:7" s="523" customFormat="1" x14ac:dyDescent="0.15">
      <c r="B403" s="527"/>
      <c r="C403" s="526"/>
      <c r="D403" s="526"/>
      <c r="E403" s="526"/>
      <c r="F403" s="526"/>
      <c r="G403" s="526"/>
    </row>
    <row r="404" spans="2:7" s="523" customFormat="1" x14ac:dyDescent="0.15">
      <c r="B404" s="527"/>
      <c r="C404" s="526"/>
      <c r="D404" s="526"/>
      <c r="E404" s="526"/>
      <c r="F404" s="526"/>
      <c r="G404" s="526"/>
    </row>
    <row r="405" spans="2:7" s="523" customFormat="1" x14ac:dyDescent="0.15">
      <c r="B405" s="527"/>
      <c r="C405" s="526"/>
      <c r="D405" s="526"/>
      <c r="E405" s="526"/>
      <c r="F405" s="526"/>
      <c r="G405" s="526"/>
    </row>
    <row r="406" spans="2:7" s="523" customFormat="1" x14ac:dyDescent="0.15">
      <c r="B406" s="527"/>
      <c r="C406" s="526"/>
      <c r="D406" s="526"/>
      <c r="E406" s="526"/>
      <c r="F406" s="526"/>
      <c r="G406" s="526"/>
    </row>
    <row r="407" spans="2:7" s="523" customFormat="1" x14ac:dyDescent="0.15">
      <c r="B407" s="527"/>
      <c r="C407" s="526"/>
      <c r="D407" s="526"/>
      <c r="E407" s="526"/>
      <c r="F407" s="526"/>
      <c r="G407" s="526"/>
    </row>
    <row r="408" spans="2:7" s="523" customFormat="1" x14ac:dyDescent="0.15">
      <c r="B408" s="527"/>
      <c r="C408" s="526"/>
      <c r="D408" s="526"/>
      <c r="E408" s="526"/>
      <c r="F408" s="526"/>
      <c r="G408" s="526"/>
    </row>
    <row r="409" spans="2:7" s="523" customFormat="1" x14ac:dyDescent="0.15">
      <c r="B409" s="527"/>
      <c r="C409" s="526"/>
      <c r="D409" s="526"/>
      <c r="E409" s="526"/>
      <c r="F409" s="526"/>
      <c r="G409" s="526"/>
    </row>
    <row r="410" spans="2:7" s="523" customFormat="1" x14ac:dyDescent="0.15">
      <c r="B410" s="527"/>
      <c r="C410" s="526"/>
      <c r="D410" s="526"/>
      <c r="E410" s="526"/>
      <c r="F410" s="526"/>
      <c r="G410" s="526"/>
    </row>
    <row r="411" spans="2:7" s="523" customFormat="1" x14ac:dyDescent="0.15">
      <c r="B411" s="527"/>
      <c r="C411" s="526"/>
      <c r="D411" s="526"/>
      <c r="E411" s="526"/>
      <c r="F411" s="526"/>
      <c r="G411" s="526"/>
    </row>
    <row r="412" spans="2:7" s="523" customFormat="1" x14ac:dyDescent="0.15">
      <c r="B412" s="527"/>
      <c r="C412" s="526"/>
      <c r="D412" s="526"/>
      <c r="E412" s="526"/>
      <c r="F412" s="526"/>
      <c r="G412" s="526"/>
    </row>
    <row r="413" spans="2:7" s="523" customFormat="1" x14ac:dyDescent="0.15">
      <c r="B413" s="527"/>
      <c r="C413" s="526"/>
      <c r="D413" s="526"/>
      <c r="E413" s="526"/>
      <c r="F413" s="526"/>
      <c r="G413" s="526"/>
    </row>
    <row r="414" spans="2:7" s="523" customFormat="1" x14ac:dyDescent="0.15">
      <c r="B414" s="527"/>
      <c r="C414" s="526"/>
      <c r="D414" s="526"/>
      <c r="E414" s="526"/>
      <c r="F414" s="526"/>
      <c r="G414" s="526"/>
    </row>
    <row r="415" spans="2:7" s="523" customFormat="1" x14ac:dyDescent="0.15">
      <c r="B415" s="527"/>
      <c r="C415" s="526"/>
      <c r="D415" s="526"/>
      <c r="E415" s="526"/>
      <c r="F415" s="526"/>
      <c r="G415" s="526"/>
    </row>
    <row r="416" spans="2:7" s="523" customFormat="1" x14ac:dyDescent="0.15">
      <c r="B416" s="527"/>
      <c r="C416" s="526"/>
      <c r="D416" s="526"/>
      <c r="E416" s="526"/>
      <c r="F416" s="526"/>
      <c r="G416" s="526"/>
    </row>
    <row r="417" spans="2:7" s="523" customFormat="1" x14ac:dyDescent="0.15">
      <c r="B417" s="527"/>
      <c r="C417" s="526"/>
      <c r="D417" s="526"/>
      <c r="E417" s="526"/>
      <c r="F417" s="526"/>
      <c r="G417" s="526"/>
    </row>
    <row r="418" spans="2:7" s="523" customFormat="1" x14ac:dyDescent="0.15">
      <c r="B418" s="527"/>
      <c r="C418" s="526"/>
      <c r="D418" s="526"/>
      <c r="E418" s="526"/>
      <c r="F418" s="526"/>
      <c r="G418" s="526"/>
    </row>
    <row r="419" spans="2:7" s="523" customFormat="1" x14ac:dyDescent="0.15">
      <c r="B419" s="527"/>
      <c r="C419" s="526"/>
      <c r="D419" s="526"/>
      <c r="E419" s="526"/>
      <c r="F419" s="526"/>
      <c r="G419" s="526"/>
    </row>
    <row r="420" spans="2:7" s="523" customFormat="1" x14ac:dyDescent="0.15">
      <c r="B420" s="527"/>
      <c r="C420" s="526"/>
      <c r="D420" s="526"/>
      <c r="E420" s="526"/>
      <c r="F420" s="526"/>
      <c r="G420" s="526"/>
    </row>
    <row r="421" spans="2:7" s="523" customFormat="1" x14ac:dyDescent="0.15">
      <c r="B421" s="527"/>
      <c r="C421" s="526"/>
      <c r="D421" s="526"/>
      <c r="E421" s="526"/>
      <c r="F421" s="526"/>
      <c r="G421" s="526"/>
    </row>
    <row r="422" spans="2:7" s="523" customFormat="1" x14ac:dyDescent="0.15">
      <c r="B422" s="527"/>
      <c r="C422" s="526"/>
      <c r="D422" s="526"/>
      <c r="E422" s="526"/>
      <c r="F422" s="526"/>
      <c r="G422" s="526"/>
    </row>
    <row r="423" spans="2:7" s="523" customFormat="1" x14ac:dyDescent="0.15">
      <c r="B423" s="527"/>
      <c r="C423" s="526"/>
      <c r="D423" s="526"/>
      <c r="E423" s="526"/>
      <c r="F423" s="526"/>
      <c r="G423" s="526"/>
    </row>
    <row r="424" spans="2:7" s="523" customFormat="1" x14ac:dyDescent="0.15">
      <c r="B424" s="527"/>
      <c r="C424" s="526"/>
      <c r="D424" s="526"/>
      <c r="E424" s="526"/>
      <c r="F424" s="526"/>
      <c r="G424" s="526"/>
    </row>
    <row r="425" spans="2:7" s="523" customFormat="1" x14ac:dyDescent="0.15">
      <c r="B425" s="527"/>
      <c r="C425" s="526"/>
      <c r="D425" s="526"/>
      <c r="E425" s="526"/>
      <c r="F425" s="526"/>
      <c r="G425" s="526"/>
    </row>
    <row r="426" spans="2:7" s="523" customFormat="1" x14ac:dyDescent="0.15">
      <c r="B426" s="527"/>
      <c r="C426" s="526"/>
      <c r="D426" s="526"/>
      <c r="E426" s="526"/>
      <c r="F426" s="526"/>
      <c r="G426" s="526"/>
    </row>
    <row r="427" spans="2:7" s="523" customFormat="1" x14ac:dyDescent="0.15">
      <c r="B427" s="527"/>
      <c r="C427" s="526"/>
      <c r="D427" s="526"/>
      <c r="E427" s="526"/>
      <c r="F427" s="526"/>
      <c r="G427" s="526"/>
    </row>
    <row r="428" spans="2:7" s="523" customFormat="1" x14ac:dyDescent="0.15">
      <c r="B428" s="527"/>
      <c r="C428" s="526"/>
      <c r="D428" s="526"/>
      <c r="E428" s="526"/>
      <c r="F428" s="526"/>
      <c r="G428" s="526"/>
    </row>
    <row r="429" spans="2:7" s="523" customFormat="1" x14ac:dyDescent="0.15">
      <c r="B429" s="527"/>
      <c r="C429" s="526"/>
      <c r="D429" s="526"/>
      <c r="E429" s="526"/>
      <c r="F429" s="526"/>
      <c r="G429" s="526"/>
    </row>
    <row r="430" spans="2:7" s="523" customFormat="1" x14ac:dyDescent="0.15">
      <c r="B430" s="527"/>
      <c r="C430" s="526"/>
      <c r="D430" s="526"/>
      <c r="E430" s="526"/>
      <c r="F430" s="526"/>
      <c r="G430" s="526"/>
    </row>
    <row r="431" spans="2:7" s="523" customFormat="1" x14ac:dyDescent="0.15">
      <c r="B431" s="527"/>
      <c r="C431" s="526"/>
      <c r="D431" s="526"/>
      <c r="E431" s="526"/>
      <c r="F431" s="526"/>
      <c r="G431" s="526"/>
    </row>
    <row r="432" spans="2:7" s="523" customFormat="1" x14ac:dyDescent="0.15">
      <c r="B432" s="527"/>
      <c r="C432" s="526"/>
      <c r="D432" s="526"/>
      <c r="E432" s="526"/>
      <c r="F432" s="526"/>
      <c r="G432" s="526"/>
    </row>
    <row r="433" spans="2:7" s="523" customFormat="1" x14ac:dyDescent="0.15">
      <c r="B433" s="527"/>
      <c r="C433" s="526"/>
      <c r="D433" s="526"/>
      <c r="E433" s="526"/>
      <c r="F433" s="526"/>
      <c r="G433" s="526"/>
    </row>
    <row r="434" spans="2:7" s="523" customFormat="1" x14ac:dyDescent="0.15">
      <c r="B434" s="527"/>
      <c r="C434" s="526"/>
      <c r="D434" s="526"/>
      <c r="E434" s="526"/>
      <c r="F434" s="526"/>
      <c r="G434" s="526"/>
    </row>
    <row r="435" spans="2:7" s="523" customFormat="1" x14ac:dyDescent="0.15">
      <c r="B435" s="527"/>
      <c r="C435" s="526"/>
      <c r="D435" s="526"/>
      <c r="E435" s="526"/>
      <c r="F435" s="526"/>
      <c r="G435" s="526"/>
    </row>
    <row r="436" spans="2:7" s="523" customFormat="1" x14ac:dyDescent="0.15">
      <c r="B436" s="527"/>
      <c r="C436" s="526"/>
      <c r="D436" s="526"/>
      <c r="E436" s="526"/>
      <c r="F436" s="526"/>
      <c r="G436" s="526"/>
    </row>
    <row r="437" spans="2:7" s="523" customFormat="1" x14ac:dyDescent="0.15">
      <c r="B437" s="527"/>
      <c r="C437" s="526"/>
      <c r="D437" s="526"/>
      <c r="E437" s="526"/>
      <c r="F437" s="526"/>
      <c r="G437" s="526"/>
    </row>
    <row r="438" spans="2:7" s="523" customFormat="1" x14ac:dyDescent="0.15">
      <c r="B438" s="527"/>
      <c r="C438" s="526"/>
      <c r="D438" s="526"/>
      <c r="E438" s="526"/>
      <c r="F438" s="526"/>
      <c r="G438" s="526"/>
    </row>
    <row r="439" spans="2:7" s="523" customFormat="1" x14ac:dyDescent="0.15">
      <c r="B439" s="527"/>
      <c r="C439" s="526"/>
      <c r="D439" s="526"/>
      <c r="E439" s="526"/>
      <c r="F439" s="526"/>
      <c r="G439" s="526"/>
    </row>
    <row r="440" spans="2:7" s="523" customFormat="1" x14ac:dyDescent="0.15">
      <c r="B440" s="527"/>
      <c r="C440" s="526"/>
      <c r="D440" s="526"/>
      <c r="E440" s="526"/>
      <c r="F440" s="526"/>
      <c r="G440" s="526"/>
    </row>
    <row r="441" spans="2:7" s="523" customFormat="1" x14ac:dyDescent="0.15">
      <c r="B441" s="527"/>
      <c r="C441" s="526"/>
      <c r="D441" s="526"/>
      <c r="E441" s="526"/>
      <c r="F441" s="526"/>
      <c r="G441" s="526"/>
    </row>
    <row r="442" spans="2:7" s="523" customFormat="1" x14ac:dyDescent="0.15">
      <c r="B442" s="527"/>
      <c r="C442" s="526"/>
      <c r="D442" s="526"/>
      <c r="E442" s="526"/>
      <c r="F442" s="526"/>
      <c r="G442" s="526"/>
    </row>
    <row r="443" spans="2:7" s="523" customFormat="1" x14ac:dyDescent="0.15">
      <c r="B443" s="527"/>
      <c r="C443" s="526"/>
      <c r="D443" s="526"/>
      <c r="E443" s="526"/>
      <c r="F443" s="526"/>
      <c r="G443" s="526"/>
    </row>
    <row r="444" spans="2:7" s="523" customFormat="1" x14ac:dyDescent="0.15">
      <c r="B444" s="527"/>
      <c r="C444" s="526"/>
      <c r="D444" s="526"/>
      <c r="E444" s="526"/>
      <c r="F444" s="526"/>
      <c r="G444" s="526"/>
    </row>
    <row r="445" spans="2:7" s="523" customFormat="1" x14ac:dyDescent="0.15">
      <c r="B445" s="527"/>
      <c r="C445" s="526"/>
      <c r="D445" s="526"/>
      <c r="E445" s="526"/>
      <c r="F445" s="526"/>
      <c r="G445" s="526"/>
    </row>
    <row r="446" spans="2:7" s="523" customFormat="1" x14ac:dyDescent="0.15">
      <c r="B446" s="527"/>
      <c r="C446" s="526"/>
      <c r="D446" s="526"/>
      <c r="E446" s="526"/>
      <c r="F446" s="526"/>
      <c r="G446" s="526"/>
    </row>
    <row r="447" spans="2:7" s="523" customFormat="1" x14ac:dyDescent="0.15">
      <c r="B447" s="527"/>
      <c r="C447" s="526"/>
      <c r="D447" s="526"/>
      <c r="E447" s="526"/>
      <c r="F447" s="526"/>
      <c r="G447" s="526"/>
    </row>
    <row r="448" spans="2:7" s="523" customFormat="1" x14ac:dyDescent="0.15">
      <c r="B448" s="527"/>
      <c r="C448" s="526"/>
      <c r="D448" s="526"/>
      <c r="E448" s="526"/>
      <c r="F448" s="526"/>
      <c r="G448" s="526"/>
    </row>
    <row r="449" spans="2:7" s="523" customFormat="1" x14ac:dyDescent="0.15">
      <c r="B449" s="527"/>
      <c r="C449" s="526"/>
      <c r="D449" s="526"/>
      <c r="E449" s="526"/>
      <c r="F449" s="526"/>
      <c r="G449" s="526"/>
    </row>
    <row r="450" spans="2:7" s="523" customFormat="1" x14ac:dyDescent="0.15">
      <c r="B450" s="527"/>
      <c r="C450" s="526"/>
      <c r="D450" s="526"/>
      <c r="E450" s="526"/>
      <c r="F450" s="526"/>
      <c r="G450" s="526"/>
    </row>
    <row r="451" spans="2:7" s="523" customFormat="1" x14ac:dyDescent="0.15">
      <c r="B451" s="527"/>
      <c r="C451" s="526"/>
      <c r="D451" s="526"/>
      <c r="E451" s="526"/>
      <c r="F451" s="526"/>
      <c r="G451" s="526"/>
    </row>
    <row r="452" spans="2:7" s="523" customFormat="1" x14ac:dyDescent="0.15">
      <c r="B452" s="527"/>
      <c r="C452" s="526"/>
      <c r="D452" s="526"/>
      <c r="E452" s="526"/>
      <c r="F452" s="526"/>
      <c r="G452" s="526"/>
    </row>
    <row r="453" spans="2:7" s="523" customFormat="1" x14ac:dyDescent="0.15">
      <c r="B453" s="527"/>
      <c r="C453" s="526"/>
      <c r="D453" s="526"/>
      <c r="E453" s="526"/>
      <c r="F453" s="526"/>
      <c r="G453" s="526"/>
    </row>
    <row r="454" spans="2:7" s="523" customFormat="1" x14ac:dyDescent="0.15">
      <c r="B454" s="527"/>
      <c r="C454" s="526"/>
      <c r="D454" s="526"/>
      <c r="E454" s="526"/>
      <c r="F454" s="526"/>
      <c r="G454" s="526"/>
    </row>
    <row r="455" spans="2:7" s="523" customFormat="1" x14ac:dyDescent="0.15">
      <c r="B455" s="527"/>
      <c r="C455" s="526"/>
      <c r="D455" s="526"/>
      <c r="E455" s="526"/>
      <c r="F455" s="526"/>
      <c r="G455" s="526"/>
    </row>
    <row r="456" spans="2:7" s="523" customFormat="1" x14ac:dyDescent="0.15">
      <c r="B456" s="527"/>
      <c r="C456" s="526"/>
      <c r="D456" s="526"/>
      <c r="E456" s="526"/>
      <c r="F456" s="526"/>
      <c r="G456" s="526"/>
    </row>
    <row r="457" spans="2:7" s="523" customFormat="1" x14ac:dyDescent="0.15">
      <c r="B457" s="527"/>
      <c r="C457" s="526"/>
      <c r="D457" s="526"/>
      <c r="E457" s="526"/>
      <c r="F457" s="526"/>
      <c r="G457" s="526"/>
    </row>
    <row r="458" spans="2:7" s="523" customFormat="1" x14ac:dyDescent="0.15">
      <c r="B458" s="527"/>
      <c r="C458" s="526"/>
      <c r="D458" s="526"/>
      <c r="E458" s="526"/>
      <c r="F458" s="526"/>
      <c r="G458" s="526"/>
    </row>
    <row r="459" spans="2:7" s="523" customFormat="1" x14ac:dyDescent="0.15">
      <c r="B459" s="527"/>
      <c r="C459" s="526"/>
      <c r="D459" s="526"/>
      <c r="E459" s="526"/>
      <c r="F459" s="526"/>
      <c r="G459" s="526"/>
    </row>
    <row r="460" spans="2:7" s="523" customFormat="1" x14ac:dyDescent="0.15">
      <c r="B460" s="527"/>
      <c r="C460" s="526"/>
      <c r="D460" s="526"/>
      <c r="E460" s="526"/>
      <c r="F460" s="526"/>
      <c r="G460" s="526"/>
    </row>
    <row r="461" spans="2:7" s="523" customFormat="1" x14ac:dyDescent="0.15">
      <c r="B461" s="527"/>
      <c r="C461" s="526"/>
      <c r="D461" s="526"/>
      <c r="E461" s="526"/>
      <c r="F461" s="526"/>
      <c r="G461" s="526"/>
    </row>
    <row r="462" spans="2:7" s="523" customFormat="1" x14ac:dyDescent="0.15">
      <c r="B462" s="527"/>
      <c r="C462" s="526"/>
      <c r="D462" s="526"/>
      <c r="E462" s="526"/>
      <c r="F462" s="526"/>
      <c r="G462" s="526"/>
    </row>
    <row r="463" spans="2:7" s="523" customFormat="1" x14ac:dyDescent="0.15">
      <c r="B463" s="527"/>
      <c r="C463" s="526"/>
      <c r="D463" s="526"/>
      <c r="E463" s="526"/>
      <c r="F463" s="526"/>
      <c r="G463" s="526"/>
    </row>
    <row r="464" spans="2:7" s="523" customFormat="1" x14ac:dyDescent="0.15">
      <c r="B464" s="527"/>
      <c r="C464" s="526"/>
      <c r="D464" s="526"/>
      <c r="E464" s="526"/>
      <c r="F464" s="526"/>
      <c r="G464" s="526"/>
    </row>
    <row r="465" spans="2:7" s="523" customFormat="1" x14ac:dyDescent="0.15">
      <c r="B465" s="527"/>
      <c r="C465" s="526"/>
      <c r="D465" s="526"/>
      <c r="E465" s="526"/>
      <c r="F465" s="526"/>
      <c r="G465" s="526"/>
    </row>
    <row r="466" spans="2:7" s="523" customFormat="1" x14ac:dyDescent="0.15">
      <c r="B466" s="527"/>
      <c r="C466" s="526"/>
      <c r="D466" s="526"/>
      <c r="E466" s="526"/>
      <c r="F466" s="526"/>
      <c r="G466" s="526"/>
    </row>
    <row r="467" spans="2:7" s="523" customFormat="1" x14ac:dyDescent="0.15">
      <c r="B467" s="527"/>
      <c r="C467" s="526"/>
      <c r="D467" s="526"/>
      <c r="E467" s="526"/>
      <c r="F467" s="526"/>
      <c r="G467" s="526"/>
    </row>
    <row r="468" spans="2:7" s="523" customFormat="1" x14ac:dyDescent="0.15">
      <c r="B468" s="527"/>
      <c r="C468" s="526"/>
      <c r="D468" s="526"/>
      <c r="E468" s="526"/>
      <c r="F468" s="526"/>
      <c r="G468" s="526"/>
    </row>
    <row r="469" spans="2:7" s="523" customFormat="1" x14ac:dyDescent="0.15">
      <c r="B469" s="527"/>
      <c r="C469" s="526"/>
      <c r="D469" s="526"/>
      <c r="E469" s="526"/>
      <c r="F469" s="526"/>
      <c r="G469" s="526"/>
    </row>
    <row r="470" spans="2:7" s="523" customFormat="1" x14ac:dyDescent="0.15">
      <c r="B470" s="527"/>
      <c r="C470" s="526"/>
      <c r="D470" s="526"/>
      <c r="E470" s="526"/>
      <c r="F470" s="526"/>
      <c r="G470" s="526"/>
    </row>
    <row r="471" spans="2:7" s="523" customFormat="1" x14ac:dyDescent="0.15">
      <c r="B471" s="527"/>
      <c r="C471" s="526"/>
      <c r="D471" s="526"/>
      <c r="E471" s="526"/>
      <c r="F471" s="526"/>
      <c r="G471" s="526"/>
    </row>
    <row r="472" spans="2:7" s="523" customFormat="1" x14ac:dyDescent="0.15">
      <c r="B472" s="527"/>
      <c r="C472" s="526"/>
      <c r="D472" s="526"/>
      <c r="E472" s="526"/>
      <c r="F472" s="526"/>
      <c r="G472" s="526"/>
    </row>
    <row r="473" spans="2:7" s="523" customFormat="1" x14ac:dyDescent="0.15">
      <c r="B473" s="527"/>
      <c r="C473" s="526"/>
      <c r="D473" s="526"/>
      <c r="E473" s="526"/>
      <c r="F473" s="526"/>
      <c r="G473" s="526"/>
    </row>
    <row r="474" spans="2:7" s="523" customFormat="1" x14ac:dyDescent="0.15">
      <c r="B474" s="527"/>
      <c r="C474" s="526"/>
      <c r="D474" s="526"/>
      <c r="E474" s="526"/>
      <c r="F474" s="526"/>
      <c r="G474" s="526"/>
    </row>
    <row r="475" spans="2:7" s="523" customFormat="1" x14ac:dyDescent="0.15">
      <c r="B475" s="527"/>
      <c r="C475" s="526"/>
      <c r="D475" s="526"/>
      <c r="E475" s="526"/>
      <c r="F475" s="526"/>
      <c r="G475" s="526"/>
    </row>
    <row r="476" spans="2:7" s="523" customFormat="1" x14ac:dyDescent="0.15">
      <c r="B476" s="527"/>
      <c r="C476" s="526"/>
      <c r="D476" s="526"/>
      <c r="E476" s="526"/>
      <c r="F476" s="526"/>
      <c r="G476" s="526"/>
    </row>
    <row r="477" spans="2:7" s="523" customFormat="1" x14ac:dyDescent="0.15">
      <c r="B477" s="527"/>
      <c r="C477" s="526"/>
      <c r="D477" s="526"/>
      <c r="E477" s="526"/>
      <c r="F477" s="526"/>
      <c r="G477" s="526"/>
    </row>
    <row r="478" spans="2:7" s="523" customFormat="1" x14ac:dyDescent="0.15">
      <c r="B478" s="527"/>
      <c r="C478" s="526"/>
      <c r="D478" s="526"/>
      <c r="E478" s="526"/>
      <c r="F478" s="526"/>
      <c r="G478" s="526"/>
    </row>
    <row r="479" spans="2:7" s="523" customFormat="1" x14ac:dyDescent="0.15">
      <c r="B479" s="527"/>
      <c r="C479" s="526"/>
      <c r="D479" s="526"/>
      <c r="E479" s="526"/>
      <c r="F479" s="526"/>
      <c r="G479" s="526"/>
    </row>
    <row r="480" spans="2:7" s="523" customFormat="1" x14ac:dyDescent="0.15">
      <c r="B480" s="527"/>
      <c r="C480" s="526"/>
      <c r="D480" s="526"/>
      <c r="E480" s="526"/>
      <c r="F480" s="526"/>
      <c r="G480" s="526"/>
    </row>
    <row r="481" spans="2:7" s="523" customFormat="1" x14ac:dyDescent="0.15">
      <c r="B481" s="527"/>
      <c r="C481" s="526"/>
      <c r="D481" s="526"/>
      <c r="E481" s="526"/>
      <c r="F481" s="526"/>
      <c r="G481" s="526"/>
    </row>
    <row r="482" spans="2:7" s="523" customFormat="1" x14ac:dyDescent="0.15">
      <c r="B482" s="527"/>
      <c r="C482" s="526"/>
      <c r="D482" s="526"/>
      <c r="E482" s="526"/>
      <c r="F482" s="526"/>
      <c r="G482" s="526"/>
    </row>
    <row r="483" spans="2:7" s="523" customFormat="1" x14ac:dyDescent="0.15">
      <c r="B483" s="527"/>
      <c r="C483" s="526"/>
      <c r="D483" s="526"/>
      <c r="E483" s="526"/>
      <c r="F483" s="526"/>
      <c r="G483" s="526"/>
    </row>
    <row r="484" spans="2:7" s="523" customFormat="1" x14ac:dyDescent="0.15">
      <c r="B484" s="527"/>
      <c r="C484" s="526"/>
      <c r="D484" s="526"/>
      <c r="E484" s="526"/>
      <c r="F484" s="526"/>
      <c r="G484" s="526"/>
    </row>
    <row r="485" spans="2:7" s="523" customFormat="1" x14ac:dyDescent="0.15">
      <c r="B485" s="527"/>
      <c r="C485" s="526"/>
      <c r="D485" s="526"/>
      <c r="E485" s="526"/>
      <c r="F485" s="526"/>
      <c r="G485" s="526"/>
    </row>
    <row r="486" spans="2:7" s="523" customFormat="1" x14ac:dyDescent="0.15">
      <c r="B486" s="527"/>
      <c r="C486" s="526"/>
      <c r="D486" s="526"/>
      <c r="E486" s="526"/>
      <c r="F486" s="526"/>
      <c r="G486" s="526"/>
    </row>
    <row r="487" spans="2:7" s="523" customFormat="1" x14ac:dyDescent="0.15">
      <c r="B487" s="527"/>
      <c r="C487" s="526"/>
      <c r="D487" s="526"/>
      <c r="E487" s="526"/>
      <c r="F487" s="526"/>
      <c r="G487" s="526"/>
    </row>
    <row r="488" spans="2:7" s="523" customFormat="1" x14ac:dyDescent="0.15">
      <c r="B488" s="527"/>
      <c r="C488" s="526"/>
      <c r="D488" s="526"/>
      <c r="E488" s="526"/>
      <c r="F488" s="526"/>
      <c r="G488" s="526"/>
    </row>
    <row r="489" spans="2:7" s="523" customFormat="1" x14ac:dyDescent="0.15">
      <c r="B489" s="527"/>
      <c r="C489" s="526"/>
      <c r="D489" s="526"/>
      <c r="E489" s="526"/>
      <c r="F489" s="526"/>
      <c r="G489" s="526"/>
    </row>
    <row r="490" spans="2:7" s="523" customFormat="1" x14ac:dyDescent="0.15">
      <c r="B490" s="527"/>
      <c r="C490" s="526"/>
      <c r="D490" s="526"/>
      <c r="E490" s="526"/>
      <c r="F490" s="526"/>
      <c r="G490" s="526"/>
    </row>
    <row r="491" spans="2:7" s="523" customFormat="1" x14ac:dyDescent="0.15">
      <c r="B491" s="527"/>
      <c r="C491" s="526"/>
      <c r="D491" s="526"/>
      <c r="E491" s="526"/>
      <c r="F491" s="526"/>
      <c r="G491" s="526"/>
    </row>
    <row r="492" spans="2:7" s="523" customFormat="1" x14ac:dyDescent="0.15">
      <c r="B492" s="527"/>
      <c r="C492" s="526"/>
      <c r="D492" s="526"/>
      <c r="E492" s="526"/>
      <c r="F492" s="526"/>
      <c r="G492" s="526"/>
    </row>
    <row r="493" spans="2:7" s="523" customFormat="1" x14ac:dyDescent="0.15">
      <c r="B493" s="527"/>
      <c r="C493" s="526"/>
      <c r="D493" s="526"/>
      <c r="E493" s="526"/>
      <c r="F493" s="526"/>
      <c r="G493" s="526"/>
    </row>
    <row r="494" spans="2:7" s="523" customFormat="1" x14ac:dyDescent="0.15">
      <c r="B494" s="527"/>
      <c r="C494" s="526"/>
      <c r="D494" s="526"/>
      <c r="E494" s="526"/>
      <c r="F494" s="526"/>
      <c r="G494" s="526"/>
    </row>
    <row r="495" spans="2:7" s="523" customFormat="1" x14ac:dyDescent="0.15">
      <c r="B495" s="527"/>
      <c r="C495" s="526"/>
      <c r="D495" s="526"/>
      <c r="E495" s="526"/>
      <c r="F495" s="526"/>
      <c r="G495" s="526"/>
    </row>
    <row r="496" spans="2:7" s="523" customFormat="1" x14ac:dyDescent="0.15">
      <c r="B496" s="527"/>
      <c r="C496" s="526"/>
      <c r="D496" s="526"/>
      <c r="E496" s="526"/>
      <c r="F496" s="526"/>
      <c r="G496" s="526"/>
    </row>
    <row r="497" spans="2:7" s="523" customFormat="1" x14ac:dyDescent="0.15">
      <c r="B497" s="527"/>
      <c r="C497" s="526"/>
      <c r="D497" s="526"/>
      <c r="E497" s="526"/>
      <c r="F497" s="526"/>
      <c r="G497" s="526"/>
    </row>
    <row r="498" spans="2:7" s="523" customFormat="1" x14ac:dyDescent="0.15">
      <c r="B498" s="527"/>
      <c r="C498" s="526"/>
      <c r="D498" s="526"/>
      <c r="E498" s="526"/>
      <c r="F498" s="526"/>
      <c r="G498" s="526"/>
    </row>
    <row r="499" spans="2:7" s="523" customFormat="1" x14ac:dyDescent="0.15">
      <c r="B499" s="527"/>
      <c r="C499" s="526"/>
      <c r="D499" s="526"/>
      <c r="E499" s="526"/>
      <c r="F499" s="526"/>
      <c r="G499" s="526"/>
    </row>
    <row r="500" spans="2:7" s="523" customFormat="1" x14ac:dyDescent="0.15">
      <c r="B500" s="527"/>
      <c r="C500" s="526"/>
      <c r="D500" s="526"/>
      <c r="E500" s="526"/>
      <c r="F500" s="526"/>
      <c r="G500" s="526"/>
    </row>
    <row r="501" spans="2:7" s="523" customFormat="1" x14ac:dyDescent="0.15">
      <c r="B501" s="527"/>
      <c r="C501" s="526"/>
      <c r="D501" s="526"/>
      <c r="E501" s="526"/>
      <c r="F501" s="526"/>
      <c r="G501" s="526"/>
    </row>
    <row r="502" spans="2:7" s="523" customFormat="1" x14ac:dyDescent="0.15">
      <c r="B502" s="527"/>
      <c r="C502" s="526"/>
      <c r="D502" s="526"/>
      <c r="E502" s="526"/>
      <c r="F502" s="526"/>
      <c r="G502" s="526"/>
    </row>
    <row r="503" spans="2:7" s="523" customFormat="1" x14ac:dyDescent="0.15">
      <c r="B503" s="527"/>
      <c r="C503" s="526"/>
      <c r="D503" s="526"/>
      <c r="E503" s="526"/>
      <c r="F503" s="526"/>
      <c r="G503" s="526"/>
    </row>
    <row r="504" spans="2:7" s="523" customFormat="1" x14ac:dyDescent="0.15">
      <c r="B504" s="527"/>
      <c r="C504" s="526"/>
      <c r="D504" s="526"/>
      <c r="E504" s="526"/>
      <c r="F504" s="526"/>
      <c r="G504" s="526"/>
    </row>
    <row r="505" spans="2:7" s="523" customFormat="1" x14ac:dyDescent="0.15">
      <c r="B505" s="527"/>
      <c r="C505" s="526"/>
      <c r="D505" s="526"/>
      <c r="E505" s="526"/>
      <c r="F505" s="526"/>
      <c r="G505" s="526"/>
    </row>
    <row r="506" spans="2:7" s="523" customFormat="1" x14ac:dyDescent="0.15">
      <c r="B506" s="527"/>
      <c r="C506" s="526"/>
      <c r="D506" s="526"/>
      <c r="E506" s="526"/>
      <c r="F506" s="526"/>
      <c r="G506" s="526"/>
    </row>
    <row r="507" spans="2:7" s="523" customFormat="1" x14ac:dyDescent="0.15">
      <c r="B507" s="527"/>
      <c r="C507" s="526"/>
      <c r="D507" s="526"/>
      <c r="E507" s="526"/>
      <c r="F507" s="526"/>
      <c r="G507" s="526"/>
    </row>
    <row r="508" spans="2:7" s="523" customFormat="1" x14ac:dyDescent="0.15">
      <c r="B508" s="527"/>
      <c r="C508" s="526"/>
      <c r="D508" s="526"/>
      <c r="E508" s="526"/>
      <c r="F508" s="526"/>
      <c r="G508" s="526"/>
    </row>
    <row r="509" spans="2:7" s="523" customFormat="1" x14ac:dyDescent="0.15">
      <c r="B509" s="527"/>
      <c r="C509" s="526"/>
      <c r="D509" s="526"/>
      <c r="E509" s="526"/>
      <c r="F509" s="526"/>
      <c r="G509" s="526"/>
    </row>
    <row r="510" spans="2:7" s="523" customFormat="1" x14ac:dyDescent="0.15">
      <c r="B510" s="527"/>
      <c r="C510" s="526"/>
      <c r="D510" s="526"/>
      <c r="E510" s="526"/>
      <c r="F510" s="526"/>
      <c r="G510" s="526"/>
    </row>
    <row r="511" spans="2:7" s="523" customFormat="1" x14ac:dyDescent="0.15">
      <c r="B511" s="527"/>
      <c r="C511" s="526"/>
      <c r="D511" s="526"/>
      <c r="E511" s="526"/>
      <c r="F511" s="526"/>
      <c r="G511" s="526"/>
    </row>
    <row r="512" spans="2:7" s="523" customFormat="1" x14ac:dyDescent="0.15">
      <c r="B512" s="527"/>
      <c r="C512" s="526"/>
      <c r="D512" s="526"/>
      <c r="E512" s="526"/>
      <c r="F512" s="526"/>
      <c r="G512" s="526"/>
    </row>
    <row r="513" spans="2:7" s="523" customFormat="1" x14ac:dyDescent="0.15">
      <c r="B513" s="527"/>
      <c r="C513" s="526"/>
      <c r="D513" s="526"/>
      <c r="E513" s="526"/>
      <c r="F513" s="526"/>
      <c r="G513" s="526"/>
    </row>
    <row r="514" spans="2:7" s="523" customFormat="1" x14ac:dyDescent="0.15">
      <c r="B514" s="527"/>
      <c r="C514" s="526"/>
      <c r="D514" s="526"/>
      <c r="E514" s="526"/>
      <c r="F514" s="526"/>
      <c r="G514" s="526"/>
    </row>
    <row r="515" spans="2:7" s="523" customFormat="1" x14ac:dyDescent="0.15">
      <c r="B515" s="527"/>
      <c r="C515" s="526"/>
      <c r="D515" s="526"/>
      <c r="E515" s="526"/>
      <c r="F515" s="526"/>
      <c r="G515" s="526"/>
    </row>
    <row r="516" spans="2:7" s="523" customFormat="1" x14ac:dyDescent="0.15">
      <c r="B516" s="527"/>
      <c r="C516" s="526"/>
      <c r="D516" s="526"/>
      <c r="E516" s="526"/>
      <c r="F516" s="526"/>
      <c r="G516" s="526"/>
    </row>
    <row r="517" spans="2:7" s="523" customFormat="1" x14ac:dyDescent="0.15">
      <c r="B517" s="527"/>
      <c r="C517" s="526"/>
      <c r="D517" s="526"/>
      <c r="E517" s="526"/>
      <c r="F517" s="526"/>
      <c r="G517" s="526"/>
    </row>
    <row r="518" spans="2:7" s="523" customFormat="1" x14ac:dyDescent="0.15">
      <c r="B518" s="527"/>
      <c r="C518" s="526"/>
      <c r="D518" s="526"/>
      <c r="E518" s="526"/>
      <c r="F518" s="526"/>
      <c r="G518" s="526"/>
    </row>
    <row r="519" spans="2:7" s="523" customFormat="1" x14ac:dyDescent="0.15">
      <c r="B519" s="527"/>
      <c r="C519" s="526"/>
      <c r="D519" s="526"/>
      <c r="E519" s="526"/>
      <c r="F519" s="526"/>
      <c r="G519" s="526"/>
    </row>
    <row r="520" spans="2:7" s="523" customFormat="1" x14ac:dyDescent="0.15">
      <c r="B520" s="527"/>
      <c r="C520" s="526"/>
      <c r="D520" s="526"/>
      <c r="E520" s="526"/>
      <c r="F520" s="526"/>
      <c r="G520" s="526"/>
    </row>
    <row r="521" spans="2:7" s="523" customFormat="1" x14ac:dyDescent="0.15">
      <c r="B521" s="527"/>
      <c r="C521" s="526"/>
      <c r="D521" s="526"/>
      <c r="E521" s="526"/>
      <c r="F521" s="526"/>
      <c r="G521" s="526"/>
    </row>
    <row r="522" spans="2:7" s="523" customFormat="1" x14ac:dyDescent="0.15">
      <c r="B522" s="527"/>
      <c r="C522" s="526"/>
      <c r="D522" s="526"/>
      <c r="E522" s="526"/>
      <c r="F522" s="526"/>
      <c r="G522" s="526"/>
    </row>
    <row r="523" spans="2:7" s="523" customFormat="1" x14ac:dyDescent="0.15">
      <c r="B523" s="527"/>
      <c r="C523" s="526"/>
      <c r="D523" s="526"/>
      <c r="E523" s="526"/>
      <c r="F523" s="526"/>
      <c r="G523" s="526"/>
    </row>
    <row r="524" spans="2:7" s="523" customFormat="1" x14ac:dyDescent="0.15">
      <c r="B524" s="527"/>
      <c r="C524" s="526"/>
      <c r="D524" s="526"/>
      <c r="E524" s="526"/>
      <c r="F524" s="526"/>
      <c r="G524" s="526"/>
    </row>
    <row r="525" spans="2:7" s="523" customFormat="1" x14ac:dyDescent="0.15">
      <c r="B525" s="527"/>
      <c r="C525" s="526"/>
      <c r="D525" s="526"/>
      <c r="E525" s="526"/>
      <c r="F525" s="526"/>
      <c r="G525" s="526"/>
    </row>
    <row r="526" spans="2:7" s="523" customFormat="1" x14ac:dyDescent="0.15">
      <c r="B526" s="527"/>
      <c r="C526" s="526"/>
      <c r="D526" s="526"/>
      <c r="E526" s="526"/>
      <c r="F526" s="526"/>
      <c r="G526" s="526"/>
    </row>
    <row r="527" spans="2:7" s="523" customFormat="1" x14ac:dyDescent="0.15">
      <c r="B527" s="527"/>
      <c r="C527" s="526"/>
      <c r="D527" s="526"/>
      <c r="E527" s="526"/>
      <c r="F527" s="526"/>
      <c r="G527" s="526"/>
    </row>
    <row r="528" spans="2:7" s="523" customFormat="1" x14ac:dyDescent="0.15">
      <c r="B528" s="527"/>
      <c r="C528" s="526"/>
      <c r="D528" s="526"/>
      <c r="E528" s="526"/>
      <c r="F528" s="526"/>
      <c r="G528" s="526"/>
    </row>
    <row r="529" spans="2:7" s="523" customFormat="1" x14ac:dyDescent="0.15">
      <c r="B529" s="527"/>
      <c r="C529" s="526"/>
      <c r="D529" s="526"/>
      <c r="E529" s="526"/>
      <c r="F529" s="526"/>
      <c r="G529" s="526"/>
    </row>
    <row r="530" spans="2:7" s="523" customFormat="1" x14ac:dyDescent="0.15">
      <c r="B530" s="527"/>
      <c r="C530" s="526"/>
      <c r="D530" s="526"/>
      <c r="E530" s="526"/>
      <c r="F530" s="526"/>
      <c r="G530" s="526"/>
    </row>
    <row r="531" spans="2:7" s="523" customFormat="1" x14ac:dyDescent="0.15">
      <c r="B531" s="527"/>
      <c r="C531" s="526"/>
      <c r="D531" s="526"/>
      <c r="E531" s="526"/>
      <c r="F531" s="526"/>
      <c r="G531" s="526"/>
    </row>
  </sheetData>
  <mergeCells count="12">
    <mergeCell ref="H38:H39"/>
    <mergeCell ref="I38:I39"/>
    <mergeCell ref="H2:H3"/>
    <mergeCell ref="I2:I3"/>
    <mergeCell ref="B2:B3"/>
    <mergeCell ref="B38:B39"/>
    <mergeCell ref="C2:C3"/>
    <mergeCell ref="G2:G3"/>
    <mergeCell ref="C38:C39"/>
    <mergeCell ref="G38:G39"/>
    <mergeCell ref="D38:E38"/>
    <mergeCell ref="D2:E2"/>
  </mergeCells>
  <pageMargins left="0.74803149606299213" right="0.74803149606299213" top="0.39370078740157483" bottom="0.39370078740157483" header="0.51181102362204722" footer="0.51181102362204722"/>
  <pageSetup paperSize="9" scale="80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F39"/>
  <sheetViews>
    <sheetView workbookViewId="0">
      <selection activeCell="B52" sqref="B52"/>
    </sheetView>
  </sheetViews>
  <sheetFormatPr defaultRowHeight="10.5" x14ac:dyDescent="0.2"/>
  <cols>
    <col min="1" max="1" width="2.28515625" style="3" customWidth="1"/>
    <col min="2" max="2" width="59.7109375" style="23" customWidth="1"/>
    <col min="3" max="4" width="15.7109375" style="23" customWidth="1"/>
    <col min="5" max="16384" width="9.140625" style="22"/>
  </cols>
  <sheetData>
    <row r="2" spans="2:6" ht="17.100000000000001" customHeight="1" x14ac:dyDescent="0.2">
      <c r="B2" s="21"/>
      <c r="C2" s="20" t="s">
        <v>5</v>
      </c>
      <c r="D2" s="19" t="s">
        <v>4</v>
      </c>
    </row>
    <row r="3" spans="2:6" ht="17.100000000000001" customHeight="1" x14ac:dyDescent="0.2">
      <c r="B3" s="18" t="s">
        <v>29</v>
      </c>
      <c r="C3" s="17">
        <v>464765</v>
      </c>
      <c r="D3" s="16">
        <v>375660</v>
      </c>
    </row>
    <row r="4" spans="2:6" ht="17.100000000000001" customHeight="1" thickBot="1" x14ac:dyDescent="0.25">
      <c r="B4" s="12" t="s">
        <v>28</v>
      </c>
      <c r="C4" s="27">
        <v>1867974</v>
      </c>
      <c r="D4" s="10">
        <v>164097</v>
      </c>
    </row>
    <row r="5" spans="2:6" ht="17.100000000000001" customHeight="1" thickBot="1" x14ac:dyDescent="0.25">
      <c r="B5" s="9" t="s">
        <v>27</v>
      </c>
      <c r="C5" s="8">
        <f>SUM(C3:C4)</f>
        <v>2332739</v>
      </c>
      <c r="D5" s="7">
        <f>SUM(D3:D4)</f>
        <v>539757</v>
      </c>
      <c r="F5" s="36">
        <f>D5-'[1]Nota 43 Środki pieniężne do CF'!D4</f>
        <v>0</v>
      </c>
    </row>
    <row r="6" spans="2:6" ht="17.100000000000001" customHeight="1" x14ac:dyDescent="0.2">
      <c r="B6" s="18" t="s">
        <v>26</v>
      </c>
      <c r="C6" s="17">
        <v>203980</v>
      </c>
      <c r="D6" s="16">
        <v>288215</v>
      </c>
    </row>
    <row r="7" spans="2:6" ht="17.100000000000001" customHeight="1" x14ac:dyDescent="0.2">
      <c r="B7" s="15" t="s">
        <v>25</v>
      </c>
      <c r="C7" s="14">
        <v>0</v>
      </c>
      <c r="D7" s="13">
        <v>29448</v>
      </c>
    </row>
    <row r="8" spans="2:6" ht="17.100000000000001" customHeight="1" x14ac:dyDescent="0.2">
      <c r="B8" s="15" t="s">
        <v>24</v>
      </c>
      <c r="C8" s="14">
        <v>0</v>
      </c>
      <c r="D8" s="13">
        <v>593465</v>
      </c>
    </row>
    <row r="9" spans="2:6" ht="17.100000000000001" customHeight="1" thickBot="1" x14ac:dyDescent="0.25">
      <c r="B9" s="12" t="s">
        <v>23</v>
      </c>
      <c r="C9" s="27">
        <v>548393</v>
      </c>
      <c r="D9" s="10">
        <v>448148</v>
      </c>
    </row>
    <row r="10" spans="2:6" ht="17.100000000000001" customHeight="1" thickBot="1" x14ac:dyDescent="0.25">
      <c r="B10" s="9" t="s">
        <v>22</v>
      </c>
      <c r="C10" s="8">
        <f>SUM(C6:C9,C5)</f>
        <v>3085112</v>
      </c>
      <c r="D10" s="7">
        <f>SUM(D6:D9,D5)</f>
        <v>1899033</v>
      </c>
    </row>
    <row r="11" spans="2:6" ht="17.100000000000001" customHeight="1" thickBot="1" x14ac:dyDescent="0.25">
      <c r="B11" s="9" t="s">
        <v>21</v>
      </c>
      <c r="C11" s="8">
        <v>-2257</v>
      </c>
      <c r="D11" s="7">
        <v>-1699</v>
      </c>
    </row>
    <row r="12" spans="2:6" ht="17.100000000000001" customHeight="1" thickBot="1" x14ac:dyDescent="0.25">
      <c r="B12" s="9" t="s">
        <v>14</v>
      </c>
      <c r="C12" s="8">
        <f>SUM(C10:C11)</f>
        <v>3082855</v>
      </c>
      <c r="D12" s="7">
        <f>SUM(D10:D11)</f>
        <v>1897334</v>
      </c>
    </row>
    <row r="13" spans="2:6" ht="9.9499999999999993" customHeight="1" thickBot="1" x14ac:dyDescent="0.25">
      <c r="B13" s="35"/>
      <c r="C13" s="34"/>
      <c r="D13" s="34"/>
    </row>
    <row r="14" spans="2:6" ht="17.100000000000001" customHeight="1" thickBot="1" x14ac:dyDescent="0.25">
      <c r="B14" s="9" t="s">
        <v>20</v>
      </c>
      <c r="C14" s="8">
        <v>3081774</v>
      </c>
      <c r="D14" s="7">
        <v>1867402</v>
      </c>
    </row>
    <row r="15" spans="2:6" ht="17.100000000000001" customHeight="1" thickBot="1" x14ac:dyDescent="0.25">
      <c r="B15" s="9" t="s">
        <v>19</v>
      </c>
      <c r="C15" s="8">
        <v>1081</v>
      </c>
      <c r="D15" s="7">
        <v>29932</v>
      </c>
    </row>
    <row r="16" spans="2:6" ht="17.100000000000001" customHeight="1" x14ac:dyDescent="0.2">
      <c r="C16" s="32"/>
      <c r="D16" s="24"/>
    </row>
    <row r="17" spans="1:5" ht="17.100000000000001" customHeight="1" x14ac:dyDescent="0.2">
      <c r="B17" s="26"/>
      <c r="C17" s="24"/>
      <c r="D17" s="24"/>
    </row>
    <row r="18" spans="1:5" ht="17.100000000000001" customHeight="1" x14ac:dyDescent="0.2">
      <c r="B18" s="26"/>
      <c r="C18" s="32"/>
      <c r="D18" s="32"/>
    </row>
    <row r="19" spans="1:5" ht="17.100000000000001" customHeight="1" x14ac:dyDescent="0.2">
      <c r="B19" s="21"/>
      <c r="C19" s="20" t="s">
        <v>5</v>
      </c>
      <c r="D19" s="19" t="s">
        <v>4</v>
      </c>
    </row>
    <row r="20" spans="1:5" ht="17.100000000000001" customHeight="1" x14ac:dyDescent="0.2">
      <c r="B20" s="18" t="s">
        <v>18</v>
      </c>
      <c r="C20" s="17">
        <v>1252296</v>
      </c>
      <c r="D20" s="16">
        <v>1012331</v>
      </c>
    </row>
    <row r="21" spans="1:5" ht="17.100000000000001" customHeight="1" x14ac:dyDescent="0.2">
      <c r="B21" s="15" t="s">
        <v>17</v>
      </c>
      <c r="C21" s="14">
        <v>-62</v>
      </c>
      <c r="D21" s="13">
        <v>-152</v>
      </c>
    </row>
    <row r="22" spans="1:5" ht="17.100000000000001" customHeight="1" x14ac:dyDescent="0.2">
      <c r="B22" s="15" t="s">
        <v>16</v>
      </c>
      <c r="C22" s="14">
        <v>1832816</v>
      </c>
      <c r="D22" s="13">
        <v>886702</v>
      </c>
    </row>
    <row r="23" spans="1:5" ht="17.100000000000001" customHeight="1" thickBot="1" x14ac:dyDescent="0.25">
      <c r="B23" s="12" t="s">
        <v>15</v>
      </c>
      <c r="C23" s="27">
        <v>-2195</v>
      </c>
      <c r="D23" s="10">
        <v>-1547</v>
      </c>
      <c r="E23" s="33"/>
    </row>
    <row r="24" spans="1:5" ht="17.100000000000001" customHeight="1" thickBot="1" x14ac:dyDescent="0.25">
      <c r="B24" s="9" t="s">
        <v>14</v>
      </c>
      <c r="C24" s="8">
        <f>SUM(C20:C23)</f>
        <v>3082855</v>
      </c>
      <c r="D24" s="7">
        <f>SUM(D20:D23)</f>
        <v>1897334</v>
      </c>
    </row>
    <row r="25" spans="1:5" ht="17.100000000000001" customHeight="1" x14ac:dyDescent="0.2">
      <c r="C25" s="32"/>
      <c r="D25" s="32"/>
    </row>
    <row r="26" spans="1:5" ht="17.100000000000001" customHeight="1" x14ac:dyDescent="0.2">
      <c r="B26" s="26"/>
      <c r="C26" s="24"/>
      <c r="D26" s="24"/>
    </row>
    <row r="27" spans="1:5" ht="17.100000000000001" customHeight="1" x14ac:dyDescent="0.2"/>
    <row r="28" spans="1:5" ht="17.100000000000001" customHeight="1" thickBot="1" x14ac:dyDescent="0.25">
      <c r="B28" s="21"/>
      <c r="C28" s="20" t="s">
        <v>5</v>
      </c>
      <c r="D28" s="19" t="s">
        <v>4</v>
      </c>
    </row>
    <row r="29" spans="1:5" ht="17.100000000000001" customHeight="1" thickBot="1" x14ac:dyDescent="0.25">
      <c r="B29" s="9" t="s">
        <v>13</v>
      </c>
      <c r="C29" s="8">
        <f>D36</f>
        <v>-1699</v>
      </c>
      <c r="D29" s="7">
        <v>-1484</v>
      </c>
    </row>
    <row r="30" spans="1:5" ht="17.100000000000001" customHeight="1" x14ac:dyDescent="0.2">
      <c r="B30" s="18" t="s">
        <v>12</v>
      </c>
      <c r="C30" s="17">
        <v>-3658</v>
      </c>
      <c r="D30" s="16">
        <v>-5120</v>
      </c>
    </row>
    <row r="31" spans="1:5" ht="17.100000000000001" customHeight="1" x14ac:dyDescent="0.2">
      <c r="B31" s="15" t="s">
        <v>11</v>
      </c>
      <c r="C31" s="14">
        <v>3186</v>
      </c>
      <c r="D31" s="13">
        <v>4908</v>
      </c>
    </row>
    <row r="32" spans="1:5" s="29" customFormat="1" ht="17.100000000000001" hidden="1" customHeight="1" x14ac:dyDescent="0.2">
      <c r="A32" s="31"/>
      <c r="B32" s="28" t="s">
        <v>10</v>
      </c>
      <c r="C32" s="14">
        <v>0</v>
      </c>
      <c r="D32" s="30">
        <v>0</v>
      </c>
    </row>
    <row r="33" spans="2:4" ht="17.100000000000001" customHeight="1" thickBot="1" x14ac:dyDescent="0.25">
      <c r="B33" s="15" t="s">
        <v>9</v>
      </c>
      <c r="C33" s="14">
        <v>-86</v>
      </c>
      <c r="D33" s="13">
        <v>-3</v>
      </c>
    </row>
    <row r="34" spans="2:4" ht="17.100000000000001" hidden="1" customHeight="1" x14ac:dyDescent="0.2">
      <c r="B34" s="28" t="s">
        <v>8</v>
      </c>
      <c r="C34" s="14">
        <v>0</v>
      </c>
      <c r="D34" s="13">
        <v>0</v>
      </c>
    </row>
    <row r="35" spans="2:4" ht="17.100000000000001" hidden="1" customHeight="1" thickBot="1" x14ac:dyDescent="0.25">
      <c r="B35" s="12" t="s">
        <v>7</v>
      </c>
      <c r="C35" s="27">
        <v>0</v>
      </c>
      <c r="D35" s="10">
        <v>0</v>
      </c>
    </row>
    <row r="36" spans="2:4" ht="17.100000000000001" customHeight="1" thickBot="1" x14ac:dyDescent="0.25">
      <c r="B36" s="9" t="s">
        <v>6</v>
      </c>
      <c r="C36" s="8">
        <f>SUM(C29:C35)</f>
        <v>-2257</v>
      </c>
      <c r="D36" s="7">
        <f>SUM(D29:D35)</f>
        <v>-1699</v>
      </c>
    </row>
    <row r="38" spans="2:4" x14ac:dyDescent="0.2">
      <c r="B38" s="26"/>
      <c r="C38" s="25"/>
      <c r="D38" s="25"/>
    </row>
    <row r="39" spans="2:4" ht="11.25" customHeight="1" x14ac:dyDescent="0.2">
      <c r="C39" s="24"/>
      <c r="D39" s="24"/>
    </row>
  </sheetData>
  <pageMargins left="0.46" right="0.3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D13"/>
  <sheetViews>
    <sheetView workbookViewId="0">
      <selection activeCell="C20" sqref="C20"/>
    </sheetView>
  </sheetViews>
  <sheetFormatPr defaultRowHeight="10.5" x14ac:dyDescent="0.2"/>
  <cols>
    <col min="1" max="1" width="2.28515625" style="3" customWidth="1"/>
    <col min="2" max="2" width="59.7109375" style="23" customWidth="1"/>
    <col min="3" max="4" width="15.7109375" style="23" customWidth="1"/>
    <col min="5" max="16384" width="9.140625" style="22"/>
  </cols>
  <sheetData>
    <row r="2" spans="2:4" ht="17.100000000000001" customHeight="1" x14ac:dyDescent="0.2">
      <c r="B2" s="522"/>
      <c r="C2" s="521" t="s">
        <v>5</v>
      </c>
      <c r="D2" s="520" t="s">
        <v>4</v>
      </c>
    </row>
    <row r="3" spans="2:4" ht="17.100000000000001" customHeight="1" x14ac:dyDescent="0.2">
      <c r="B3" s="549" t="s">
        <v>316</v>
      </c>
      <c r="C3" s="518">
        <f>SUM(C4:C8)</f>
        <v>682812</v>
      </c>
      <c r="D3" s="517">
        <f>SUM(D4:D8)</f>
        <v>660017</v>
      </c>
    </row>
    <row r="4" spans="2:4" ht="17.100000000000001" customHeight="1" x14ac:dyDescent="0.2">
      <c r="B4" s="516" t="s">
        <v>315</v>
      </c>
      <c r="C4" s="513">
        <v>1335</v>
      </c>
      <c r="D4" s="512">
        <v>1335</v>
      </c>
    </row>
    <row r="5" spans="2:4" ht="17.100000000000001" customHeight="1" x14ac:dyDescent="0.2">
      <c r="B5" s="516" t="s">
        <v>314</v>
      </c>
      <c r="C5" s="513">
        <v>186928</v>
      </c>
      <c r="D5" s="512">
        <v>193652</v>
      </c>
    </row>
    <row r="6" spans="2:4" ht="17.100000000000001" customHeight="1" x14ac:dyDescent="0.2">
      <c r="B6" s="514" t="s">
        <v>313</v>
      </c>
      <c r="C6" s="513">
        <v>174152</v>
      </c>
      <c r="D6" s="512">
        <v>149573</v>
      </c>
    </row>
    <row r="7" spans="2:4" ht="17.100000000000001" customHeight="1" x14ac:dyDescent="0.2">
      <c r="B7" s="515" t="s">
        <v>312</v>
      </c>
      <c r="C7" s="513">
        <v>239399</v>
      </c>
      <c r="D7" s="512">
        <v>231210</v>
      </c>
    </row>
    <row r="8" spans="2:4" ht="17.100000000000001" customHeight="1" x14ac:dyDescent="0.2">
      <c r="B8" s="514" t="s">
        <v>311</v>
      </c>
      <c r="C8" s="513">
        <v>80998</v>
      </c>
      <c r="D8" s="512">
        <v>84247</v>
      </c>
    </row>
    <row r="9" spans="2:4" ht="17.100000000000001" customHeight="1" thickBot="1" x14ac:dyDescent="0.25">
      <c r="B9" s="511" t="s">
        <v>310</v>
      </c>
      <c r="C9" s="510">
        <v>74559</v>
      </c>
      <c r="D9" s="509">
        <v>84505</v>
      </c>
    </row>
    <row r="10" spans="2:4" ht="17.100000000000001" customHeight="1" thickBot="1" x14ac:dyDescent="0.25">
      <c r="B10" s="455" t="s">
        <v>309</v>
      </c>
      <c r="C10" s="508">
        <f>SUM(C4:C9)</f>
        <v>757371</v>
      </c>
      <c r="D10" s="507">
        <f>SUM(D4:D9)</f>
        <v>744522</v>
      </c>
    </row>
    <row r="13" spans="2:4" x14ac:dyDescent="0.2">
      <c r="B13" s="26"/>
      <c r="C13" s="25"/>
      <c r="D13" s="25"/>
    </row>
  </sheetData>
  <pageMargins left="0.39" right="0.3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2:K67"/>
  <sheetViews>
    <sheetView zoomScaleNormal="100" workbookViewId="0">
      <selection activeCell="J22" sqref="J22"/>
    </sheetView>
  </sheetViews>
  <sheetFormatPr defaultRowHeight="10.5" x14ac:dyDescent="0.15"/>
  <cols>
    <col min="1" max="1" width="3.85546875" style="38" customWidth="1"/>
    <col min="2" max="2" width="37.85546875" style="525" customWidth="1"/>
    <col min="3" max="3" width="9.28515625" style="524" customWidth="1"/>
    <col min="4" max="4" width="10.5703125" style="524" bestFit="1" customWidth="1"/>
    <col min="5" max="5" width="11" style="524" customWidth="1"/>
    <col min="6" max="6" width="11.140625" style="524" customWidth="1"/>
    <col min="7" max="7" width="12" style="524" bestFit="1" customWidth="1"/>
    <col min="8" max="8" width="11.7109375" style="524" customWidth="1"/>
    <col min="9" max="9" width="11.85546875" style="524" customWidth="1"/>
    <col min="10" max="10" width="9.28515625" style="38" bestFit="1" customWidth="1"/>
    <col min="11" max="16384" width="9.140625" style="38"/>
  </cols>
  <sheetData>
    <row r="2" spans="2:9" ht="80.099999999999994" customHeight="1" x14ac:dyDescent="0.15">
      <c r="B2" s="552" t="s">
        <v>308</v>
      </c>
      <c r="C2" s="546" t="s">
        <v>332</v>
      </c>
      <c r="D2" s="546" t="s">
        <v>331</v>
      </c>
      <c r="E2" s="546" t="s">
        <v>330</v>
      </c>
      <c r="F2" s="546" t="s">
        <v>329</v>
      </c>
      <c r="G2" s="546" t="s">
        <v>328</v>
      </c>
      <c r="H2" s="551" t="s">
        <v>327</v>
      </c>
      <c r="I2" s="550" t="s">
        <v>326</v>
      </c>
    </row>
    <row r="3" spans="2:9" ht="32.25" thickBot="1" x14ac:dyDescent="0.2">
      <c r="B3" s="545" t="s">
        <v>335</v>
      </c>
      <c r="C3" s="544">
        <f t="shared" ref="C3:H3" si="0">C50</f>
        <v>1335</v>
      </c>
      <c r="D3" s="544">
        <f t="shared" si="0"/>
        <v>357255</v>
      </c>
      <c r="E3" s="544">
        <f t="shared" si="0"/>
        <v>628714</v>
      </c>
      <c r="F3" s="544">
        <f t="shared" si="0"/>
        <v>334326</v>
      </c>
      <c r="G3" s="544">
        <f t="shared" si="0"/>
        <v>410766</v>
      </c>
      <c r="H3" s="544">
        <f t="shared" si="0"/>
        <v>84685</v>
      </c>
      <c r="I3" s="543">
        <f t="shared" ref="I3:I31" si="1">SUM(C3:H3)</f>
        <v>1817081</v>
      </c>
    </row>
    <row r="4" spans="2:9" ht="17.100000000000001" customHeight="1" thickBot="1" x14ac:dyDescent="0.2">
      <c r="B4" s="455" t="s">
        <v>291</v>
      </c>
      <c r="C4" s="256">
        <f t="shared" ref="C4:H4" si="2">SUM(C5:C8)</f>
        <v>0</v>
      </c>
      <c r="D4" s="256">
        <f t="shared" si="2"/>
        <v>2135</v>
      </c>
      <c r="E4" s="256">
        <f t="shared" si="2"/>
        <v>103764</v>
      </c>
      <c r="F4" s="256">
        <f t="shared" si="2"/>
        <v>100289</v>
      </c>
      <c r="G4" s="256">
        <f t="shared" si="2"/>
        <v>31726</v>
      </c>
      <c r="H4" s="256">
        <f t="shared" si="2"/>
        <v>89228</v>
      </c>
      <c r="I4" s="531">
        <f t="shared" si="1"/>
        <v>327142</v>
      </c>
    </row>
    <row r="5" spans="2:9" ht="17.100000000000001" customHeight="1" x14ac:dyDescent="0.15">
      <c r="B5" s="541" t="s">
        <v>324</v>
      </c>
      <c r="C5" s="540">
        <v>0</v>
      </c>
      <c r="D5" s="540">
        <v>284</v>
      </c>
      <c r="E5" s="540">
        <v>32887</v>
      </c>
      <c r="F5" s="540">
        <v>93766</v>
      </c>
      <c r="G5" s="540">
        <v>4782</v>
      </c>
      <c r="H5" s="540">
        <v>75070</v>
      </c>
      <c r="I5" s="539">
        <f t="shared" si="1"/>
        <v>206789</v>
      </c>
    </row>
    <row r="6" spans="2:9" ht="17.100000000000001" customHeight="1" x14ac:dyDescent="0.15">
      <c r="B6" s="515" t="s">
        <v>289</v>
      </c>
      <c r="C6" s="262">
        <v>0</v>
      </c>
      <c r="D6" s="262">
        <v>1809</v>
      </c>
      <c r="E6" s="262">
        <v>54654</v>
      </c>
      <c r="F6" s="262">
        <v>75</v>
      </c>
      <c r="G6" s="262">
        <v>21200</v>
      </c>
      <c r="H6" s="262">
        <v>0</v>
      </c>
      <c r="I6" s="538">
        <f t="shared" si="1"/>
        <v>77738</v>
      </c>
    </row>
    <row r="7" spans="2:9" ht="18" hidden="1" customHeight="1" x14ac:dyDescent="0.15">
      <c r="B7" s="515" t="s">
        <v>277</v>
      </c>
      <c r="C7" s="262">
        <v>0</v>
      </c>
      <c r="D7" s="262">
        <v>0</v>
      </c>
      <c r="E7" s="262">
        <v>0</v>
      </c>
      <c r="F7" s="262">
        <v>0</v>
      </c>
      <c r="G7" s="262">
        <v>0</v>
      </c>
      <c r="H7" s="262">
        <v>0</v>
      </c>
      <c r="I7" s="538">
        <f t="shared" si="1"/>
        <v>0</v>
      </c>
    </row>
    <row r="8" spans="2:9" ht="17.100000000000001" customHeight="1" thickBot="1" x14ac:dyDescent="0.2">
      <c r="B8" s="534" t="s">
        <v>319</v>
      </c>
      <c r="C8" s="533">
        <v>0</v>
      </c>
      <c r="D8" s="533">
        <v>42</v>
      </c>
      <c r="E8" s="533">
        <v>16223</v>
      </c>
      <c r="F8" s="533">
        <v>6448</v>
      </c>
      <c r="G8" s="533">
        <v>5744</v>
      </c>
      <c r="H8" s="533">
        <v>14158</v>
      </c>
      <c r="I8" s="532">
        <f t="shared" si="1"/>
        <v>42615</v>
      </c>
    </row>
    <row r="9" spans="2:9" ht="17.100000000000001" customHeight="1" thickBot="1" x14ac:dyDescent="0.2">
      <c r="B9" s="455" t="s">
        <v>286</v>
      </c>
      <c r="C9" s="256">
        <f t="shared" ref="C9:H9" si="3">SUM(C10:C15)</f>
        <v>0</v>
      </c>
      <c r="D9" s="256">
        <f t="shared" si="3"/>
        <v>-4120</v>
      </c>
      <c r="E9" s="256">
        <f t="shared" si="3"/>
        <v>-53815</v>
      </c>
      <c r="F9" s="256">
        <f t="shared" si="3"/>
        <v>-88413</v>
      </c>
      <c r="G9" s="256">
        <f t="shared" si="3"/>
        <v>-18223</v>
      </c>
      <c r="H9" s="256">
        <f t="shared" si="3"/>
        <v>-99218</v>
      </c>
      <c r="I9" s="531">
        <f t="shared" si="1"/>
        <v>-263789</v>
      </c>
    </row>
    <row r="10" spans="2:9" ht="17.100000000000001" customHeight="1" x14ac:dyDescent="0.15">
      <c r="B10" s="541" t="s">
        <v>323</v>
      </c>
      <c r="C10" s="540">
        <v>0</v>
      </c>
      <c r="D10" s="540">
        <v>-316</v>
      </c>
      <c r="E10" s="540">
        <v>-28952</v>
      </c>
      <c r="F10" s="540">
        <v>-68995</v>
      </c>
      <c r="G10" s="540">
        <v>-6366</v>
      </c>
      <c r="H10" s="540">
        <v>0</v>
      </c>
      <c r="I10" s="539">
        <f t="shared" si="1"/>
        <v>-104629</v>
      </c>
    </row>
    <row r="11" spans="2:9" ht="17.100000000000001" customHeight="1" x14ac:dyDescent="0.15">
      <c r="B11" s="515" t="s">
        <v>278</v>
      </c>
      <c r="C11" s="262">
        <v>0</v>
      </c>
      <c r="D11" s="262">
        <v>-238</v>
      </c>
      <c r="E11" s="262">
        <v>-9014</v>
      </c>
      <c r="F11" s="262">
        <v>-131</v>
      </c>
      <c r="G11" s="262">
        <v>-10256</v>
      </c>
      <c r="H11" s="262">
        <v>0</v>
      </c>
      <c r="I11" s="538">
        <f t="shared" si="1"/>
        <v>-19639</v>
      </c>
    </row>
    <row r="12" spans="2:9" ht="17.100000000000001" customHeight="1" x14ac:dyDescent="0.15">
      <c r="B12" s="515" t="s">
        <v>322</v>
      </c>
      <c r="C12" s="262">
        <v>0</v>
      </c>
      <c r="D12" s="262">
        <v>0</v>
      </c>
      <c r="E12" s="262">
        <v>0</v>
      </c>
      <c r="F12" s="262">
        <v>0</v>
      </c>
      <c r="G12" s="262">
        <v>0</v>
      </c>
      <c r="H12" s="262">
        <v>-77738</v>
      </c>
      <c r="I12" s="538">
        <f t="shared" si="1"/>
        <v>-77738</v>
      </c>
    </row>
    <row r="13" spans="2:9" ht="17.100000000000001" hidden="1" customHeight="1" x14ac:dyDescent="0.15">
      <c r="B13" s="515" t="s">
        <v>321</v>
      </c>
      <c r="C13" s="262">
        <v>0</v>
      </c>
      <c r="D13" s="262">
        <v>0</v>
      </c>
      <c r="E13" s="262">
        <v>0</v>
      </c>
      <c r="F13" s="262">
        <v>0</v>
      </c>
      <c r="G13" s="262">
        <v>0</v>
      </c>
      <c r="H13" s="262">
        <v>0</v>
      </c>
      <c r="I13" s="538">
        <f t="shared" si="1"/>
        <v>0</v>
      </c>
    </row>
    <row r="14" spans="2:9" ht="19.5" hidden="1" customHeight="1" x14ac:dyDescent="0.15">
      <c r="B14" s="515" t="s">
        <v>277</v>
      </c>
      <c r="C14" s="262">
        <v>0</v>
      </c>
      <c r="D14" s="262">
        <v>0</v>
      </c>
      <c r="E14" s="262">
        <v>0</v>
      </c>
      <c r="F14" s="262">
        <v>0</v>
      </c>
      <c r="G14" s="262">
        <v>0</v>
      </c>
      <c r="H14" s="262">
        <v>0</v>
      </c>
      <c r="I14" s="538">
        <f t="shared" si="1"/>
        <v>0</v>
      </c>
    </row>
    <row r="15" spans="2:9" ht="17.100000000000001" customHeight="1" thickBot="1" x14ac:dyDescent="0.2">
      <c r="B15" s="534" t="s">
        <v>318</v>
      </c>
      <c r="C15" s="533">
        <v>0</v>
      </c>
      <c r="D15" s="533">
        <v>-3566</v>
      </c>
      <c r="E15" s="533">
        <v>-15849</v>
      </c>
      <c r="F15" s="533">
        <v>-19287</v>
      </c>
      <c r="G15" s="533">
        <v>-1601</v>
      </c>
      <c r="H15" s="533">
        <v>-21480</v>
      </c>
      <c r="I15" s="532">
        <f t="shared" si="1"/>
        <v>-61783</v>
      </c>
    </row>
    <row r="16" spans="2:9" ht="30" customHeight="1" thickBot="1" x14ac:dyDescent="0.2">
      <c r="B16" s="455" t="s">
        <v>334</v>
      </c>
      <c r="C16" s="256">
        <f t="shared" ref="C16:H16" si="4">C3+C4+C9</f>
        <v>1335</v>
      </c>
      <c r="D16" s="256">
        <f t="shared" si="4"/>
        <v>355270</v>
      </c>
      <c r="E16" s="256">
        <f t="shared" si="4"/>
        <v>678663</v>
      </c>
      <c r="F16" s="256">
        <f t="shared" si="4"/>
        <v>346202</v>
      </c>
      <c r="G16" s="256">
        <f t="shared" si="4"/>
        <v>424269</v>
      </c>
      <c r="H16" s="256">
        <f t="shared" si="4"/>
        <v>74695</v>
      </c>
      <c r="I16" s="531">
        <f t="shared" si="1"/>
        <v>1880434</v>
      </c>
    </row>
    <row r="17" spans="2:9" ht="30" customHeight="1" thickBot="1" x14ac:dyDescent="0.2">
      <c r="B17" s="455" t="s">
        <v>305</v>
      </c>
      <c r="C17" s="256">
        <f t="shared" ref="C17:H17" si="5">C60</f>
        <v>0</v>
      </c>
      <c r="D17" s="256">
        <f t="shared" si="5"/>
        <v>-105464</v>
      </c>
      <c r="E17" s="256">
        <f t="shared" si="5"/>
        <v>-479141</v>
      </c>
      <c r="F17" s="256">
        <f t="shared" si="5"/>
        <v>-103083</v>
      </c>
      <c r="G17" s="256">
        <f t="shared" si="5"/>
        <v>-326388</v>
      </c>
      <c r="H17" s="256">
        <f t="shared" si="5"/>
        <v>0</v>
      </c>
      <c r="I17" s="531">
        <f t="shared" si="1"/>
        <v>-1014076</v>
      </c>
    </row>
    <row r="18" spans="2:9" ht="17.100000000000001" customHeight="1" thickBot="1" x14ac:dyDescent="0.2">
      <c r="B18" s="455" t="s">
        <v>282</v>
      </c>
      <c r="C18" s="256">
        <f t="shared" ref="C18:H18" si="6">SUM(C19:C25)</f>
        <v>0</v>
      </c>
      <c r="D18" s="256">
        <f t="shared" si="6"/>
        <v>-3739</v>
      </c>
      <c r="E18" s="256">
        <f t="shared" si="6"/>
        <v>-25370</v>
      </c>
      <c r="F18" s="256">
        <f t="shared" si="6"/>
        <v>-3720</v>
      </c>
      <c r="G18" s="256">
        <f t="shared" si="6"/>
        <v>-16752</v>
      </c>
      <c r="H18" s="256">
        <f t="shared" si="6"/>
        <v>0</v>
      </c>
      <c r="I18" s="531">
        <f t="shared" si="1"/>
        <v>-49581</v>
      </c>
    </row>
    <row r="19" spans="2:9" ht="17.100000000000001" customHeight="1" x14ac:dyDescent="0.15">
      <c r="B19" s="541" t="s">
        <v>281</v>
      </c>
      <c r="C19" s="540">
        <v>0</v>
      </c>
      <c r="D19" s="540">
        <v>-7034</v>
      </c>
      <c r="E19" s="540">
        <v>-61158</v>
      </c>
      <c r="F19" s="540">
        <v>-57077</v>
      </c>
      <c r="G19" s="540">
        <v>-29658</v>
      </c>
      <c r="H19" s="540">
        <v>0</v>
      </c>
      <c r="I19" s="539">
        <f t="shared" si="1"/>
        <v>-154927</v>
      </c>
    </row>
    <row r="20" spans="2:9" ht="19.5" hidden="1" customHeight="1" x14ac:dyDescent="0.15">
      <c r="B20" s="515" t="s">
        <v>277</v>
      </c>
      <c r="C20" s="262">
        <v>0</v>
      </c>
      <c r="D20" s="262">
        <v>0</v>
      </c>
      <c r="E20" s="262">
        <v>0</v>
      </c>
      <c r="F20" s="262">
        <v>0</v>
      </c>
      <c r="G20" s="262">
        <v>0</v>
      </c>
      <c r="H20" s="262">
        <v>0</v>
      </c>
      <c r="I20" s="538">
        <f t="shared" si="1"/>
        <v>0</v>
      </c>
    </row>
    <row r="21" spans="2:9" ht="17.100000000000001" customHeight="1" x14ac:dyDescent="0.15">
      <c r="B21" s="515" t="s">
        <v>319</v>
      </c>
      <c r="C21" s="262">
        <v>0</v>
      </c>
      <c r="D21" s="262">
        <v>-38</v>
      </c>
      <c r="E21" s="262">
        <v>-11506</v>
      </c>
      <c r="F21" s="262">
        <v>-507</v>
      </c>
      <c r="G21" s="262">
        <v>-4857</v>
      </c>
      <c r="H21" s="262">
        <v>0</v>
      </c>
      <c r="I21" s="538">
        <f t="shared" si="1"/>
        <v>-16908</v>
      </c>
    </row>
    <row r="22" spans="2:9" ht="17.100000000000001" customHeight="1" x14ac:dyDescent="0.15">
      <c r="B22" s="515" t="s">
        <v>279</v>
      </c>
      <c r="C22" s="262">
        <v>0</v>
      </c>
      <c r="D22" s="262">
        <v>316</v>
      </c>
      <c r="E22" s="262">
        <v>25879</v>
      </c>
      <c r="F22" s="262">
        <v>44607</v>
      </c>
      <c r="G22" s="262">
        <v>6331</v>
      </c>
      <c r="H22" s="262">
        <v>0</v>
      </c>
      <c r="I22" s="538">
        <f t="shared" si="1"/>
        <v>77133</v>
      </c>
    </row>
    <row r="23" spans="2:9" ht="17.100000000000001" customHeight="1" x14ac:dyDescent="0.15">
      <c r="B23" s="515" t="s">
        <v>278</v>
      </c>
      <c r="C23" s="262">
        <v>0</v>
      </c>
      <c r="D23" s="262">
        <v>52</v>
      </c>
      <c r="E23" s="262">
        <v>8971</v>
      </c>
      <c r="F23" s="262">
        <v>66</v>
      </c>
      <c r="G23" s="262">
        <v>9906</v>
      </c>
      <c r="H23" s="262">
        <v>0</v>
      </c>
      <c r="I23" s="538">
        <f t="shared" si="1"/>
        <v>18995</v>
      </c>
    </row>
    <row r="24" spans="2:9" ht="20.25" hidden="1" customHeight="1" x14ac:dyDescent="0.15">
      <c r="B24" s="515" t="s">
        <v>277</v>
      </c>
      <c r="C24" s="262">
        <v>0</v>
      </c>
      <c r="D24" s="262">
        <v>0</v>
      </c>
      <c r="E24" s="262">
        <v>0</v>
      </c>
      <c r="F24" s="262">
        <v>0</v>
      </c>
      <c r="G24" s="262">
        <v>0</v>
      </c>
      <c r="H24" s="262">
        <v>0</v>
      </c>
      <c r="I24" s="538">
        <f t="shared" si="1"/>
        <v>0</v>
      </c>
    </row>
    <row r="25" spans="2:9" ht="17.100000000000001" customHeight="1" thickBot="1" x14ac:dyDescent="0.2">
      <c r="B25" s="534" t="s">
        <v>318</v>
      </c>
      <c r="C25" s="533">
        <v>0</v>
      </c>
      <c r="D25" s="533">
        <v>2965</v>
      </c>
      <c r="E25" s="533">
        <v>12444</v>
      </c>
      <c r="F25" s="533">
        <v>9191</v>
      </c>
      <c r="G25" s="533">
        <v>1526</v>
      </c>
      <c r="H25" s="533">
        <v>0</v>
      </c>
      <c r="I25" s="532">
        <f t="shared" si="1"/>
        <v>26126</v>
      </c>
    </row>
    <row r="26" spans="2:9" ht="30" customHeight="1" thickBot="1" x14ac:dyDescent="0.2">
      <c r="B26" s="455" t="s">
        <v>304</v>
      </c>
      <c r="C26" s="256">
        <f t="shared" ref="C26:H26" si="7">C17+C18</f>
        <v>0</v>
      </c>
      <c r="D26" s="256">
        <f t="shared" si="7"/>
        <v>-109203</v>
      </c>
      <c r="E26" s="256">
        <f t="shared" si="7"/>
        <v>-504511</v>
      </c>
      <c r="F26" s="256">
        <f t="shared" si="7"/>
        <v>-106803</v>
      </c>
      <c r="G26" s="256">
        <f t="shared" si="7"/>
        <v>-343140</v>
      </c>
      <c r="H26" s="256">
        <f t="shared" si="7"/>
        <v>0</v>
      </c>
      <c r="I26" s="531">
        <f t="shared" si="1"/>
        <v>-1063657</v>
      </c>
    </row>
    <row r="27" spans="2:9" ht="30" customHeight="1" thickBot="1" x14ac:dyDescent="0.2">
      <c r="B27" s="455" t="s">
        <v>303</v>
      </c>
      <c r="C27" s="256">
        <f t="shared" ref="C27:H27" si="8">C64</f>
        <v>0</v>
      </c>
      <c r="D27" s="256">
        <f t="shared" si="8"/>
        <v>-58139</v>
      </c>
      <c r="E27" s="256">
        <f t="shared" si="8"/>
        <v>0</v>
      </c>
      <c r="F27" s="256">
        <f t="shared" si="8"/>
        <v>-33</v>
      </c>
      <c r="G27" s="256">
        <f t="shared" si="8"/>
        <v>-131</v>
      </c>
      <c r="H27" s="256">
        <f t="shared" si="8"/>
        <v>-180</v>
      </c>
      <c r="I27" s="531">
        <f t="shared" si="1"/>
        <v>-58483</v>
      </c>
    </row>
    <row r="28" spans="2:9" ht="17.100000000000001" customHeight="1" x14ac:dyDescent="0.15">
      <c r="B28" s="537" t="s">
        <v>273</v>
      </c>
      <c r="C28" s="536">
        <v>0</v>
      </c>
      <c r="D28" s="536">
        <v>-1000</v>
      </c>
      <c r="E28" s="536">
        <v>0</v>
      </c>
      <c r="F28" s="536">
        <v>0</v>
      </c>
      <c r="G28" s="536">
        <v>0</v>
      </c>
      <c r="H28" s="536">
        <v>0</v>
      </c>
      <c r="I28" s="535">
        <f t="shared" si="1"/>
        <v>-1000</v>
      </c>
    </row>
    <row r="29" spans="2:9" ht="17.100000000000001" customHeight="1" thickBot="1" x14ac:dyDescent="0.2">
      <c r="B29" s="534" t="s">
        <v>272</v>
      </c>
      <c r="C29" s="533">
        <v>0</v>
      </c>
      <c r="D29" s="533">
        <v>0</v>
      </c>
      <c r="E29" s="533">
        <v>0</v>
      </c>
      <c r="F29" s="533">
        <v>33</v>
      </c>
      <c r="G29" s="533">
        <v>0</v>
      </c>
      <c r="H29" s="533">
        <v>44</v>
      </c>
      <c r="I29" s="532">
        <f t="shared" si="1"/>
        <v>77</v>
      </c>
    </row>
    <row r="30" spans="2:9" ht="30" customHeight="1" thickBot="1" x14ac:dyDescent="0.2">
      <c r="B30" s="455" t="s">
        <v>302</v>
      </c>
      <c r="C30" s="256">
        <f t="shared" ref="C30:H30" si="9">SUM(C27:C29)</f>
        <v>0</v>
      </c>
      <c r="D30" s="256">
        <f t="shared" si="9"/>
        <v>-59139</v>
      </c>
      <c r="E30" s="256">
        <f t="shared" si="9"/>
        <v>0</v>
      </c>
      <c r="F30" s="256">
        <f t="shared" si="9"/>
        <v>0</v>
      </c>
      <c r="G30" s="256">
        <f t="shared" si="9"/>
        <v>-131</v>
      </c>
      <c r="H30" s="256">
        <f t="shared" si="9"/>
        <v>-136</v>
      </c>
      <c r="I30" s="531">
        <f t="shared" si="1"/>
        <v>-59406</v>
      </c>
    </row>
    <row r="31" spans="2:9" ht="30" customHeight="1" thickBot="1" x14ac:dyDescent="0.2">
      <c r="B31" s="455" t="s">
        <v>333</v>
      </c>
      <c r="C31" s="256">
        <f t="shared" ref="C31:H31" si="10">C16+C26+C30</f>
        <v>1335</v>
      </c>
      <c r="D31" s="256">
        <f t="shared" si="10"/>
        <v>186928</v>
      </c>
      <c r="E31" s="256">
        <f t="shared" si="10"/>
        <v>174152</v>
      </c>
      <c r="F31" s="256">
        <f t="shared" si="10"/>
        <v>239399</v>
      </c>
      <c r="G31" s="256">
        <f t="shared" si="10"/>
        <v>80998</v>
      </c>
      <c r="H31" s="256">
        <f t="shared" si="10"/>
        <v>74559</v>
      </c>
      <c r="I31" s="531">
        <f t="shared" si="1"/>
        <v>757371</v>
      </c>
    </row>
    <row r="33" spans="2:9" x14ac:dyDescent="0.15">
      <c r="B33" s="530"/>
      <c r="C33" s="529"/>
      <c r="D33" s="529"/>
      <c r="E33" s="529"/>
      <c r="F33" s="529"/>
      <c r="G33" s="529"/>
      <c r="H33" s="529"/>
      <c r="I33" s="529"/>
    </row>
    <row r="36" spans="2:9" ht="80.099999999999994" customHeight="1" x14ac:dyDescent="0.15">
      <c r="B36" s="552" t="s">
        <v>300</v>
      </c>
      <c r="C36" s="546" t="s">
        <v>332</v>
      </c>
      <c r="D36" s="546" t="s">
        <v>331</v>
      </c>
      <c r="E36" s="546" t="s">
        <v>330</v>
      </c>
      <c r="F36" s="546" t="s">
        <v>329</v>
      </c>
      <c r="G36" s="546" t="s">
        <v>328</v>
      </c>
      <c r="H36" s="551" t="s">
        <v>327</v>
      </c>
      <c r="I36" s="550" t="s">
        <v>326</v>
      </c>
    </row>
    <row r="37" spans="2:9" ht="32.25" thickBot="1" x14ac:dyDescent="0.2">
      <c r="B37" s="545" t="s">
        <v>325</v>
      </c>
      <c r="C37" s="544">
        <v>1335</v>
      </c>
      <c r="D37" s="544">
        <v>357152</v>
      </c>
      <c r="E37" s="544">
        <v>578115</v>
      </c>
      <c r="F37" s="544">
        <v>326062</v>
      </c>
      <c r="G37" s="544">
        <v>418878</v>
      </c>
      <c r="H37" s="544">
        <v>72783</v>
      </c>
      <c r="I37" s="543">
        <f t="shared" ref="I37:I65" si="11">SUM(C37:H37)</f>
        <v>1754325</v>
      </c>
    </row>
    <row r="38" spans="2:9" ht="17.100000000000001" customHeight="1" thickBot="1" x14ac:dyDescent="0.2">
      <c r="B38" s="455" t="s">
        <v>291</v>
      </c>
      <c r="C38" s="256">
        <f t="shared" ref="C38:H38" si="12">SUM(C39:C42)</f>
        <v>0</v>
      </c>
      <c r="D38" s="256">
        <f t="shared" si="12"/>
        <v>666</v>
      </c>
      <c r="E38" s="256">
        <f t="shared" si="12"/>
        <v>88409</v>
      </c>
      <c r="F38" s="256">
        <f t="shared" si="12"/>
        <v>87155</v>
      </c>
      <c r="G38" s="256">
        <f t="shared" si="12"/>
        <v>20160</v>
      </c>
      <c r="H38" s="256">
        <f t="shared" si="12"/>
        <v>101417</v>
      </c>
      <c r="I38" s="531">
        <f t="shared" si="11"/>
        <v>297807</v>
      </c>
    </row>
    <row r="39" spans="2:9" ht="17.100000000000001" customHeight="1" x14ac:dyDescent="0.15">
      <c r="B39" s="541" t="s">
        <v>324</v>
      </c>
      <c r="C39" s="540">
        <v>0</v>
      </c>
      <c r="D39" s="540">
        <v>146</v>
      </c>
      <c r="E39" s="540">
        <v>33427</v>
      </c>
      <c r="F39" s="540">
        <v>81826</v>
      </c>
      <c r="G39" s="540">
        <v>5856</v>
      </c>
      <c r="H39" s="540">
        <v>84469</v>
      </c>
      <c r="I39" s="539">
        <f t="shared" si="11"/>
        <v>205724</v>
      </c>
    </row>
    <row r="40" spans="2:9" ht="17.100000000000001" customHeight="1" x14ac:dyDescent="0.15">
      <c r="B40" s="515" t="s">
        <v>289</v>
      </c>
      <c r="C40" s="262">
        <v>0</v>
      </c>
      <c r="D40" s="262">
        <v>82</v>
      </c>
      <c r="E40" s="262">
        <v>53984</v>
      </c>
      <c r="F40" s="262">
        <v>0</v>
      </c>
      <c r="G40" s="262">
        <v>13706</v>
      </c>
      <c r="H40" s="262">
        <v>0</v>
      </c>
      <c r="I40" s="538">
        <f t="shared" si="11"/>
        <v>67772</v>
      </c>
    </row>
    <row r="41" spans="2:9" hidden="1" x14ac:dyDescent="0.15">
      <c r="B41" s="515" t="s">
        <v>277</v>
      </c>
      <c r="C41" s="262"/>
      <c r="D41" s="262"/>
      <c r="E41" s="262"/>
      <c r="F41" s="262"/>
      <c r="G41" s="262"/>
      <c r="H41" s="262"/>
      <c r="I41" s="538">
        <f t="shared" si="11"/>
        <v>0</v>
      </c>
    </row>
    <row r="42" spans="2:9" ht="17.100000000000001" customHeight="1" thickBot="1" x14ac:dyDescent="0.2">
      <c r="B42" s="534" t="s">
        <v>319</v>
      </c>
      <c r="C42" s="533">
        <v>0</v>
      </c>
      <c r="D42" s="533">
        <v>438</v>
      </c>
      <c r="E42" s="533">
        <v>998</v>
      </c>
      <c r="F42" s="533">
        <v>5329</v>
      </c>
      <c r="G42" s="533">
        <v>598</v>
      </c>
      <c r="H42" s="533">
        <v>16948</v>
      </c>
      <c r="I42" s="532">
        <f t="shared" si="11"/>
        <v>24311</v>
      </c>
    </row>
    <row r="43" spans="2:9" ht="17.100000000000001" customHeight="1" thickBot="1" x14ac:dyDescent="0.2">
      <c r="B43" s="455" t="s">
        <v>286</v>
      </c>
      <c r="C43" s="256">
        <f t="shared" ref="C43:H43" si="13">SUM(C44:C49)</f>
        <v>0</v>
      </c>
      <c r="D43" s="256">
        <f t="shared" si="13"/>
        <v>-563</v>
      </c>
      <c r="E43" s="256">
        <f t="shared" si="13"/>
        <v>-37810</v>
      </c>
      <c r="F43" s="256">
        <f t="shared" si="13"/>
        <v>-78891</v>
      </c>
      <c r="G43" s="256">
        <f t="shared" si="13"/>
        <v>-28272</v>
      </c>
      <c r="H43" s="256">
        <f t="shared" si="13"/>
        <v>-89515</v>
      </c>
      <c r="I43" s="531">
        <f t="shared" si="11"/>
        <v>-235051</v>
      </c>
    </row>
    <row r="44" spans="2:9" ht="17.100000000000001" customHeight="1" x14ac:dyDescent="0.15">
      <c r="B44" s="541" t="s">
        <v>323</v>
      </c>
      <c r="C44" s="540">
        <v>0</v>
      </c>
      <c r="D44" s="540">
        <v>0</v>
      </c>
      <c r="E44" s="540">
        <v>-5450</v>
      </c>
      <c r="F44" s="540">
        <v>-74563</v>
      </c>
      <c r="G44" s="540">
        <v>-1391</v>
      </c>
      <c r="H44" s="540">
        <v>0</v>
      </c>
      <c r="I44" s="539">
        <f t="shared" si="11"/>
        <v>-81404</v>
      </c>
    </row>
    <row r="45" spans="2:9" ht="17.100000000000001" customHeight="1" x14ac:dyDescent="0.15">
      <c r="B45" s="515" t="s">
        <v>278</v>
      </c>
      <c r="C45" s="262">
        <v>0</v>
      </c>
      <c r="D45" s="262">
        <v>-562</v>
      </c>
      <c r="E45" s="262">
        <v>-19899</v>
      </c>
      <c r="F45" s="262">
        <v>-818</v>
      </c>
      <c r="G45" s="262">
        <v>-13375</v>
      </c>
      <c r="H45" s="262">
        <v>0</v>
      </c>
      <c r="I45" s="538">
        <f t="shared" si="11"/>
        <v>-34654</v>
      </c>
    </row>
    <row r="46" spans="2:9" ht="17.100000000000001" customHeight="1" x14ac:dyDescent="0.15">
      <c r="B46" s="515" t="s">
        <v>322</v>
      </c>
      <c r="C46" s="262">
        <v>0</v>
      </c>
      <c r="D46" s="262">
        <v>0</v>
      </c>
      <c r="E46" s="262">
        <v>0</v>
      </c>
      <c r="F46" s="262">
        <v>0</v>
      </c>
      <c r="G46" s="262">
        <v>0</v>
      </c>
      <c r="H46" s="262">
        <v>-67772</v>
      </c>
      <c r="I46" s="538">
        <f t="shared" si="11"/>
        <v>-67772</v>
      </c>
    </row>
    <row r="47" spans="2:9" ht="17.100000000000001" hidden="1" customHeight="1" x14ac:dyDescent="0.15">
      <c r="B47" s="515" t="s">
        <v>321</v>
      </c>
      <c r="C47" s="262">
        <v>0</v>
      </c>
      <c r="D47" s="262">
        <v>0</v>
      </c>
      <c r="E47" s="262">
        <v>0</v>
      </c>
      <c r="F47" s="262">
        <v>0</v>
      </c>
      <c r="G47" s="262">
        <v>0</v>
      </c>
      <c r="H47" s="262">
        <v>0</v>
      </c>
      <c r="I47" s="538">
        <f t="shared" si="11"/>
        <v>0</v>
      </c>
    </row>
    <row r="48" spans="2:9" ht="15" hidden="1" customHeight="1" x14ac:dyDescent="0.15">
      <c r="B48" s="515" t="s">
        <v>277</v>
      </c>
      <c r="C48" s="262"/>
      <c r="D48" s="262"/>
      <c r="E48" s="262"/>
      <c r="F48" s="262"/>
      <c r="G48" s="262"/>
      <c r="H48" s="262"/>
      <c r="I48" s="538">
        <f t="shared" si="11"/>
        <v>0</v>
      </c>
    </row>
    <row r="49" spans="2:9" ht="17.100000000000001" customHeight="1" thickBot="1" x14ac:dyDescent="0.2">
      <c r="B49" s="534" t="s">
        <v>318</v>
      </c>
      <c r="C49" s="533">
        <v>0</v>
      </c>
      <c r="D49" s="533">
        <v>-1</v>
      </c>
      <c r="E49" s="533">
        <v>-12461</v>
      </c>
      <c r="F49" s="533">
        <v>-3510</v>
      </c>
      <c r="G49" s="533">
        <v>-13506</v>
      </c>
      <c r="H49" s="533">
        <v>-21743</v>
      </c>
      <c r="I49" s="532">
        <f t="shared" si="11"/>
        <v>-51221</v>
      </c>
    </row>
    <row r="50" spans="2:9" ht="30" customHeight="1" thickBot="1" x14ac:dyDescent="0.2">
      <c r="B50" s="455" t="s">
        <v>320</v>
      </c>
      <c r="C50" s="256">
        <f t="shared" ref="C50:H50" si="14">C37+C38+C43</f>
        <v>1335</v>
      </c>
      <c r="D50" s="256">
        <f t="shared" si="14"/>
        <v>357255</v>
      </c>
      <c r="E50" s="256">
        <f t="shared" si="14"/>
        <v>628714</v>
      </c>
      <c r="F50" s="256">
        <f t="shared" si="14"/>
        <v>334326</v>
      </c>
      <c r="G50" s="256">
        <f t="shared" si="14"/>
        <v>410766</v>
      </c>
      <c r="H50" s="256">
        <f t="shared" si="14"/>
        <v>84685</v>
      </c>
      <c r="I50" s="531">
        <f t="shared" si="11"/>
        <v>1817081</v>
      </c>
    </row>
    <row r="51" spans="2:9" ht="30" customHeight="1" thickBot="1" x14ac:dyDescent="0.2">
      <c r="B51" s="455" t="s">
        <v>283</v>
      </c>
      <c r="C51" s="256">
        <v>0</v>
      </c>
      <c r="D51" s="256">
        <v>-98559</v>
      </c>
      <c r="E51" s="256">
        <v>-461192</v>
      </c>
      <c r="F51" s="256">
        <v>-100715</v>
      </c>
      <c r="G51" s="256">
        <v>-320007</v>
      </c>
      <c r="H51" s="256">
        <v>0</v>
      </c>
      <c r="I51" s="531">
        <f t="shared" si="11"/>
        <v>-980473</v>
      </c>
    </row>
    <row r="52" spans="2:9" ht="17.100000000000001" customHeight="1" thickBot="1" x14ac:dyDescent="0.2">
      <c r="B52" s="455" t="s">
        <v>282</v>
      </c>
      <c r="C52" s="256">
        <f t="shared" ref="C52:H52" si="15">SUM(C53:C59)</f>
        <v>0</v>
      </c>
      <c r="D52" s="256">
        <f t="shared" si="15"/>
        <v>-6905</v>
      </c>
      <c r="E52" s="256">
        <f t="shared" si="15"/>
        <v>-17949</v>
      </c>
      <c r="F52" s="256">
        <f t="shared" si="15"/>
        <v>-2368</v>
      </c>
      <c r="G52" s="256">
        <f t="shared" si="15"/>
        <v>-6381</v>
      </c>
      <c r="H52" s="256">
        <f t="shared" si="15"/>
        <v>0</v>
      </c>
      <c r="I52" s="531">
        <f t="shared" si="11"/>
        <v>-33603</v>
      </c>
    </row>
    <row r="53" spans="2:9" ht="17.100000000000001" customHeight="1" x14ac:dyDescent="0.15">
      <c r="B53" s="541" t="s">
        <v>281</v>
      </c>
      <c r="C53" s="540">
        <v>0</v>
      </c>
      <c r="D53" s="540">
        <v>-7121</v>
      </c>
      <c r="E53" s="540">
        <v>-55470</v>
      </c>
      <c r="F53" s="540">
        <v>-55728</v>
      </c>
      <c r="G53" s="540">
        <v>-33134</v>
      </c>
      <c r="H53" s="540">
        <v>0</v>
      </c>
      <c r="I53" s="539">
        <f t="shared" si="11"/>
        <v>-151453</v>
      </c>
    </row>
    <row r="54" spans="2:9" hidden="1" x14ac:dyDescent="0.15">
      <c r="B54" s="515" t="s">
        <v>277</v>
      </c>
      <c r="C54" s="262"/>
      <c r="D54" s="262"/>
      <c r="E54" s="262"/>
      <c r="F54" s="262"/>
      <c r="G54" s="262"/>
      <c r="H54" s="262"/>
      <c r="I54" s="538">
        <f t="shared" si="11"/>
        <v>0</v>
      </c>
    </row>
    <row r="55" spans="2:9" ht="17.100000000000001" customHeight="1" x14ac:dyDescent="0.15">
      <c r="B55" s="515" t="s">
        <v>319</v>
      </c>
      <c r="C55" s="262">
        <v>0</v>
      </c>
      <c r="D55" s="262">
        <v>-615</v>
      </c>
      <c r="E55" s="262">
        <v>-102</v>
      </c>
      <c r="F55" s="262">
        <v>-39</v>
      </c>
      <c r="G55" s="262">
        <v>-246</v>
      </c>
      <c r="H55" s="262">
        <v>0</v>
      </c>
      <c r="I55" s="538">
        <f t="shared" si="11"/>
        <v>-1002</v>
      </c>
    </row>
    <row r="56" spans="2:9" ht="17.100000000000001" customHeight="1" x14ac:dyDescent="0.15">
      <c r="B56" s="515" t="s">
        <v>279</v>
      </c>
      <c r="C56" s="262">
        <v>0</v>
      </c>
      <c r="D56" s="262">
        <v>0</v>
      </c>
      <c r="E56" s="262">
        <v>5372</v>
      </c>
      <c r="F56" s="262">
        <v>50173</v>
      </c>
      <c r="G56" s="262">
        <v>1373</v>
      </c>
      <c r="H56" s="262">
        <v>0</v>
      </c>
      <c r="I56" s="538">
        <f t="shared" si="11"/>
        <v>56918</v>
      </c>
    </row>
    <row r="57" spans="2:9" ht="17.100000000000001" customHeight="1" x14ac:dyDescent="0.15">
      <c r="B57" s="515" t="s">
        <v>278</v>
      </c>
      <c r="C57" s="262">
        <v>0</v>
      </c>
      <c r="D57" s="262">
        <v>205</v>
      </c>
      <c r="E57" s="262">
        <v>19757</v>
      </c>
      <c r="F57" s="262">
        <v>753</v>
      </c>
      <c r="G57" s="262">
        <v>12341</v>
      </c>
      <c r="H57" s="262">
        <v>0</v>
      </c>
      <c r="I57" s="538">
        <f t="shared" si="11"/>
        <v>33056</v>
      </c>
    </row>
    <row r="58" spans="2:9" ht="15" hidden="1" customHeight="1" x14ac:dyDescent="0.15">
      <c r="B58" s="515" t="s">
        <v>277</v>
      </c>
      <c r="C58" s="262"/>
      <c r="D58" s="262"/>
      <c r="E58" s="262"/>
      <c r="F58" s="262"/>
      <c r="G58" s="262"/>
      <c r="H58" s="262"/>
      <c r="I58" s="538">
        <f t="shared" si="11"/>
        <v>0</v>
      </c>
    </row>
    <row r="59" spans="2:9" ht="17.100000000000001" customHeight="1" thickBot="1" x14ac:dyDescent="0.2">
      <c r="B59" s="534" t="s">
        <v>318</v>
      </c>
      <c r="C59" s="533">
        <v>0</v>
      </c>
      <c r="D59" s="533">
        <v>626</v>
      </c>
      <c r="E59" s="533">
        <v>12494</v>
      </c>
      <c r="F59" s="533">
        <v>2473</v>
      </c>
      <c r="G59" s="533">
        <v>13285</v>
      </c>
      <c r="H59" s="533">
        <v>0</v>
      </c>
      <c r="I59" s="532">
        <f t="shared" si="11"/>
        <v>28878</v>
      </c>
    </row>
    <row r="60" spans="2:9" ht="30" customHeight="1" thickBot="1" x14ac:dyDescent="0.2">
      <c r="B60" s="455" t="s">
        <v>275</v>
      </c>
      <c r="C60" s="256">
        <f t="shared" ref="C60:H60" si="16">SUM(C51:C52)</f>
        <v>0</v>
      </c>
      <c r="D60" s="256">
        <f t="shared" si="16"/>
        <v>-105464</v>
      </c>
      <c r="E60" s="256">
        <f t="shared" si="16"/>
        <v>-479141</v>
      </c>
      <c r="F60" s="256">
        <f t="shared" si="16"/>
        <v>-103083</v>
      </c>
      <c r="G60" s="256">
        <f t="shared" si="16"/>
        <v>-326388</v>
      </c>
      <c r="H60" s="256">
        <f t="shared" si="16"/>
        <v>0</v>
      </c>
      <c r="I60" s="531">
        <f t="shared" si="11"/>
        <v>-1014076</v>
      </c>
    </row>
    <row r="61" spans="2:9" ht="30" customHeight="1" thickBot="1" x14ac:dyDescent="0.2">
      <c r="B61" s="455" t="s">
        <v>274</v>
      </c>
      <c r="C61" s="256">
        <v>0</v>
      </c>
      <c r="D61" s="256">
        <v>-56139</v>
      </c>
      <c r="E61" s="256">
        <v>0</v>
      </c>
      <c r="F61" s="256">
        <v>-25</v>
      </c>
      <c r="G61" s="256">
        <v>-131</v>
      </c>
      <c r="H61" s="256">
        <v>-180</v>
      </c>
      <c r="I61" s="531">
        <f t="shared" si="11"/>
        <v>-56475</v>
      </c>
    </row>
    <row r="62" spans="2:9" ht="17.100000000000001" customHeight="1" x14ac:dyDescent="0.15">
      <c r="B62" s="537" t="s">
        <v>273</v>
      </c>
      <c r="C62" s="536">
        <v>0</v>
      </c>
      <c r="D62" s="536">
        <v>-2000</v>
      </c>
      <c r="E62" s="536">
        <v>0</v>
      </c>
      <c r="F62" s="536">
        <v>-13</v>
      </c>
      <c r="G62" s="536">
        <v>0</v>
      </c>
      <c r="H62" s="536">
        <v>0</v>
      </c>
      <c r="I62" s="535">
        <f t="shared" si="11"/>
        <v>-2013</v>
      </c>
    </row>
    <row r="63" spans="2:9" ht="17.100000000000001" customHeight="1" thickBot="1" x14ac:dyDescent="0.2">
      <c r="B63" s="534" t="s">
        <v>272</v>
      </c>
      <c r="C63" s="533">
        <v>0</v>
      </c>
      <c r="D63" s="533">
        <v>0</v>
      </c>
      <c r="E63" s="533">
        <v>0</v>
      </c>
      <c r="F63" s="533">
        <v>5</v>
      </c>
      <c r="G63" s="533">
        <v>0</v>
      </c>
      <c r="H63" s="533">
        <v>0</v>
      </c>
      <c r="I63" s="532">
        <f t="shared" si="11"/>
        <v>5</v>
      </c>
    </row>
    <row r="64" spans="2:9" ht="30" customHeight="1" thickBot="1" x14ac:dyDescent="0.2">
      <c r="B64" s="455" t="s">
        <v>271</v>
      </c>
      <c r="C64" s="256">
        <f t="shared" ref="C64:H64" si="17">SUM(C61:C63)</f>
        <v>0</v>
      </c>
      <c r="D64" s="256">
        <f t="shared" si="17"/>
        <v>-58139</v>
      </c>
      <c r="E64" s="256">
        <f t="shared" si="17"/>
        <v>0</v>
      </c>
      <c r="F64" s="256">
        <f t="shared" si="17"/>
        <v>-33</v>
      </c>
      <c r="G64" s="256">
        <f t="shared" si="17"/>
        <v>-131</v>
      </c>
      <c r="H64" s="256">
        <f t="shared" si="17"/>
        <v>-180</v>
      </c>
      <c r="I64" s="531">
        <f t="shared" si="11"/>
        <v>-58483</v>
      </c>
    </row>
    <row r="65" spans="2:11" ht="30" customHeight="1" thickBot="1" x14ac:dyDescent="0.2">
      <c r="B65" s="455" t="s">
        <v>317</v>
      </c>
      <c r="C65" s="256">
        <f t="shared" ref="C65:H65" si="18">C50+C60+C64</f>
        <v>1335</v>
      </c>
      <c r="D65" s="256">
        <f t="shared" si="18"/>
        <v>193652</v>
      </c>
      <c r="E65" s="256">
        <f t="shared" si="18"/>
        <v>149573</v>
      </c>
      <c r="F65" s="256">
        <f t="shared" si="18"/>
        <v>231210</v>
      </c>
      <c r="G65" s="256">
        <f t="shared" si="18"/>
        <v>84247</v>
      </c>
      <c r="H65" s="256">
        <f t="shared" si="18"/>
        <v>84505</v>
      </c>
      <c r="I65" s="531">
        <f t="shared" si="11"/>
        <v>744522</v>
      </c>
      <c r="K65" s="529"/>
    </row>
    <row r="67" spans="2:11" x14ac:dyDescent="0.15">
      <c r="B67" s="530"/>
      <c r="C67" s="529"/>
      <c r="D67" s="529"/>
      <c r="E67" s="529"/>
      <c r="F67" s="529"/>
      <c r="G67" s="529"/>
      <c r="H67" s="529"/>
      <c r="I67" s="529"/>
    </row>
  </sheetData>
  <printOptions horizontalCentered="1"/>
  <pageMargins left="0.39370078740157483" right="0.39370078740157483" top="0.98425196850393704" bottom="0.98425196850393704" header="0.51181102362204722" footer="0.51181102362204722"/>
  <pageSetup paperSize="9" scale="6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3:G9"/>
  <sheetViews>
    <sheetView workbookViewId="0">
      <selection activeCell="C43" sqref="C43"/>
    </sheetView>
  </sheetViews>
  <sheetFormatPr defaultRowHeight="10.5" x14ac:dyDescent="0.2"/>
  <cols>
    <col min="1" max="1" width="2.28515625" style="3" customWidth="1"/>
    <col min="2" max="2" width="59.7109375" style="23" customWidth="1"/>
    <col min="3" max="4" width="15.7109375" style="23" customWidth="1"/>
    <col min="5" max="16384" width="9.140625" style="22"/>
  </cols>
  <sheetData>
    <row r="3" spans="1:7" ht="17.100000000000001" customHeight="1" x14ac:dyDescent="0.2">
      <c r="B3" s="522"/>
      <c r="C3" s="521" t="s">
        <v>5</v>
      </c>
      <c r="D3" s="520" t="s">
        <v>4</v>
      </c>
    </row>
    <row r="4" spans="1:7" s="557" customFormat="1" ht="24.95" customHeight="1" thickBot="1" x14ac:dyDescent="0.25">
      <c r="A4" s="558"/>
      <c r="B4" s="227" t="s">
        <v>339</v>
      </c>
      <c r="C4" s="226"/>
      <c r="D4" s="226"/>
    </row>
    <row r="5" spans="1:7" ht="17.100000000000001" customHeight="1" x14ac:dyDescent="0.2">
      <c r="B5" s="225" t="s">
        <v>338</v>
      </c>
      <c r="C5" s="556">
        <v>47320</v>
      </c>
      <c r="D5" s="223">
        <v>50535</v>
      </c>
    </row>
    <row r="6" spans="1:7" ht="17.100000000000001" customHeight="1" x14ac:dyDescent="0.2">
      <c r="B6" s="222" t="s">
        <v>337</v>
      </c>
      <c r="C6" s="555">
        <v>44575</v>
      </c>
      <c r="D6" s="220">
        <v>57800</v>
      </c>
    </row>
    <row r="7" spans="1:7" ht="17.100000000000001" customHeight="1" thickBot="1" x14ac:dyDescent="0.25">
      <c r="B7" s="271" t="s">
        <v>336</v>
      </c>
      <c r="C7" s="554">
        <v>0</v>
      </c>
      <c r="D7" s="553">
        <v>3</v>
      </c>
    </row>
    <row r="8" spans="1:7" ht="17.100000000000001" customHeight="1" thickBot="1" x14ac:dyDescent="0.25">
      <c r="B8" s="255" t="s">
        <v>39</v>
      </c>
      <c r="C8" s="508">
        <f>SUM(C5:C7)</f>
        <v>91895</v>
      </c>
      <c r="D8" s="453">
        <f>SUM(D5:D7)</f>
        <v>108338</v>
      </c>
    </row>
    <row r="9" spans="1:7" x14ac:dyDescent="0.2">
      <c r="B9" s="26"/>
      <c r="C9" s="25"/>
      <c r="D9" s="25"/>
      <c r="G9" s="33"/>
    </row>
  </sheetData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3:G28"/>
  <sheetViews>
    <sheetView workbookViewId="0">
      <selection activeCell="C32" sqref="C32"/>
    </sheetView>
  </sheetViews>
  <sheetFormatPr defaultRowHeight="10.5" x14ac:dyDescent="0.2"/>
  <cols>
    <col min="1" max="1" width="2.28515625" style="3" customWidth="1"/>
    <col min="2" max="2" width="59.7109375" style="23" customWidth="1"/>
    <col min="3" max="4" width="15.7109375" style="23" customWidth="1"/>
    <col min="5" max="5" width="9.140625" style="22"/>
    <col min="6" max="6" width="28.42578125" style="22" customWidth="1"/>
    <col min="7" max="16384" width="9.140625" style="22"/>
  </cols>
  <sheetData>
    <row r="3" spans="1:6" ht="17.100000000000001" customHeight="1" thickBot="1" x14ac:dyDescent="0.25">
      <c r="B3" s="522"/>
      <c r="C3" s="521" t="s">
        <v>5</v>
      </c>
      <c r="D3" s="520" t="s">
        <v>4</v>
      </c>
    </row>
    <row r="4" spans="1:6" s="557" customFormat="1" ht="17.100000000000001" hidden="1" customHeight="1" thickBot="1" x14ac:dyDescent="0.25">
      <c r="A4" s="558"/>
      <c r="B4" s="545" t="s">
        <v>357</v>
      </c>
      <c r="C4" s="564">
        <f>SUM(C5:C7)</f>
        <v>0</v>
      </c>
      <c r="D4" s="559">
        <f>SUM(D5:D7)</f>
        <v>0</v>
      </c>
      <c r="F4" s="563" t="s">
        <v>356</v>
      </c>
    </row>
    <row r="5" spans="1:6" ht="17.100000000000001" hidden="1" customHeight="1" x14ac:dyDescent="0.2">
      <c r="B5" s="519" t="s">
        <v>355</v>
      </c>
      <c r="C5" s="503">
        <v>0</v>
      </c>
      <c r="D5" s="502">
        <v>0</v>
      </c>
    </row>
    <row r="6" spans="1:6" ht="17.100000000000001" hidden="1" customHeight="1" x14ac:dyDescent="0.2">
      <c r="B6" s="514" t="s">
        <v>354</v>
      </c>
      <c r="C6" s="501">
        <v>0</v>
      </c>
      <c r="D6" s="500">
        <v>0</v>
      </c>
    </row>
    <row r="7" spans="1:6" ht="17.100000000000001" hidden="1" customHeight="1" thickBot="1" x14ac:dyDescent="0.25">
      <c r="B7" s="511" t="s">
        <v>347</v>
      </c>
      <c r="C7" s="495">
        <v>0</v>
      </c>
      <c r="D7" s="494">
        <v>0</v>
      </c>
    </row>
    <row r="8" spans="1:6" s="557" customFormat="1" ht="17.100000000000001" customHeight="1" thickBot="1" x14ac:dyDescent="0.25">
      <c r="A8" s="558"/>
      <c r="B8" s="455" t="s">
        <v>353</v>
      </c>
      <c r="C8" s="508">
        <f>SUM(C9:C14)</f>
        <v>848156</v>
      </c>
      <c r="D8" s="507">
        <f>SUM(D9:D14)</f>
        <v>971192</v>
      </c>
    </row>
    <row r="9" spans="1:6" ht="17.100000000000001" customHeight="1" x14ac:dyDescent="0.2">
      <c r="B9" s="519" t="s">
        <v>352</v>
      </c>
      <c r="C9" s="503">
        <v>152110</v>
      </c>
      <c r="D9" s="502">
        <v>222454</v>
      </c>
    </row>
    <row r="10" spans="1:6" ht="17.100000000000001" customHeight="1" x14ac:dyDescent="0.2">
      <c r="B10" s="514" t="s">
        <v>351</v>
      </c>
      <c r="C10" s="501">
        <v>11520</v>
      </c>
      <c r="D10" s="500">
        <v>2365</v>
      </c>
    </row>
    <row r="11" spans="1:6" ht="17.100000000000001" customHeight="1" x14ac:dyDescent="0.2">
      <c r="B11" s="514" t="s">
        <v>350</v>
      </c>
      <c r="C11" s="501">
        <v>171028</v>
      </c>
      <c r="D11" s="500">
        <v>115938</v>
      </c>
    </row>
    <row r="12" spans="1:6" ht="17.100000000000001" customHeight="1" x14ac:dyDescent="0.2">
      <c r="B12" s="514" t="s">
        <v>349</v>
      </c>
      <c r="C12" s="501">
        <v>55792</v>
      </c>
      <c r="D12" s="500">
        <v>56315</v>
      </c>
    </row>
    <row r="13" spans="1:6" ht="17.100000000000001" customHeight="1" x14ac:dyDescent="0.2">
      <c r="B13" s="514" t="s">
        <v>348</v>
      </c>
      <c r="C13" s="501">
        <v>354737</v>
      </c>
      <c r="D13" s="500">
        <v>298791</v>
      </c>
    </row>
    <row r="14" spans="1:6" ht="17.100000000000001" customHeight="1" thickBot="1" x14ac:dyDescent="0.25">
      <c r="B14" s="514" t="s">
        <v>347</v>
      </c>
      <c r="C14" s="501">
        <v>102969</v>
      </c>
      <c r="D14" s="500">
        <v>275329</v>
      </c>
    </row>
    <row r="15" spans="1:6" ht="17.100000000000001" customHeight="1" thickBot="1" x14ac:dyDescent="0.25">
      <c r="B15" s="455" t="s">
        <v>346</v>
      </c>
      <c r="C15" s="508">
        <f>C4+C8</f>
        <v>848156</v>
      </c>
      <c r="D15" s="507">
        <f>D4+D8</f>
        <v>971192</v>
      </c>
    </row>
    <row r="16" spans="1:6" ht="9.9499999999999993" customHeight="1" thickBot="1" x14ac:dyDescent="0.25">
      <c r="B16" s="562"/>
      <c r="C16" s="561"/>
      <c r="D16" s="561"/>
    </row>
    <row r="17" spans="1:7" ht="17.100000000000001" customHeight="1" thickBot="1" x14ac:dyDescent="0.25">
      <c r="B17" s="455" t="s">
        <v>20</v>
      </c>
      <c r="C17" s="508">
        <v>442347</v>
      </c>
      <c r="D17" s="507">
        <v>643751</v>
      </c>
    </row>
    <row r="18" spans="1:7" ht="17.100000000000001" customHeight="1" thickBot="1" x14ac:dyDescent="0.25">
      <c r="B18" s="455" t="s">
        <v>19</v>
      </c>
      <c r="C18" s="508">
        <v>405809</v>
      </c>
      <c r="D18" s="507">
        <v>327441</v>
      </c>
    </row>
    <row r="20" spans="1:7" x14ac:dyDescent="0.2">
      <c r="B20" s="26"/>
      <c r="C20" s="25"/>
      <c r="D20" s="25"/>
      <c r="G20" s="33">
        <f>D15-D17-D18</f>
        <v>0</v>
      </c>
    </row>
    <row r="22" spans="1:7" ht="17.100000000000001" customHeight="1" x14ac:dyDescent="0.2">
      <c r="B22" s="522"/>
      <c r="C22" s="521" t="s">
        <v>5</v>
      </c>
      <c r="D22" s="520" t="s">
        <v>4</v>
      </c>
    </row>
    <row r="23" spans="1:7" s="557" customFormat="1" ht="17.100000000000001" customHeight="1" thickBot="1" x14ac:dyDescent="0.25">
      <c r="A23" s="558"/>
      <c r="B23" s="545" t="s">
        <v>345</v>
      </c>
      <c r="C23" s="560">
        <f>SUM(C24:C26)</f>
        <v>206105</v>
      </c>
      <c r="D23" s="559">
        <f>SUM(D24:D26)</f>
        <v>321778</v>
      </c>
    </row>
    <row r="24" spans="1:7" ht="17.100000000000001" customHeight="1" x14ac:dyDescent="0.2">
      <c r="B24" s="519" t="s">
        <v>344</v>
      </c>
      <c r="C24" s="503">
        <v>191726</v>
      </c>
      <c r="D24" s="502">
        <f>316726-5847</f>
        <v>310879</v>
      </c>
    </row>
    <row r="25" spans="1:7" ht="17.100000000000001" customHeight="1" x14ac:dyDescent="0.2">
      <c r="B25" s="191" t="s">
        <v>343</v>
      </c>
      <c r="C25" s="503">
        <v>5642</v>
      </c>
      <c r="D25" s="502">
        <v>5847</v>
      </c>
    </row>
    <row r="26" spans="1:7" ht="17.100000000000001" customHeight="1" x14ac:dyDescent="0.2">
      <c r="B26" s="514" t="s">
        <v>342</v>
      </c>
      <c r="C26" s="501">
        <v>8737</v>
      </c>
      <c r="D26" s="500">
        <v>5052</v>
      </c>
    </row>
    <row r="27" spans="1:7" ht="17.100000000000001" customHeight="1" thickBot="1" x14ac:dyDescent="0.25">
      <c r="B27" s="511" t="s">
        <v>341</v>
      </c>
      <c r="C27" s="495">
        <v>-14073</v>
      </c>
      <c r="D27" s="494">
        <v>-7627</v>
      </c>
    </row>
    <row r="28" spans="1:7" ht="17.100000000000001" customHeight="1" thickBot="1" x14ac:dyDescent="0.25">
      <c r="B28" s="455" t="s">
        <v>340</v>
      </c>
      <c r="C28" s="508">
        <f>C23+C27</f>
        <v>192032</v>
      </c>
      <c r="D28" s="507">
        <f>D23+D27</f>
        <v>314151</v>
      </c>
    </row>
  </sheetData>
  <pageMargins left="0.26" right="0.28000000000000003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F16"/>
  <sheetViews>
    <sheetView workbookViewId="0">
      <selection activeCell="D21" sqref="D21"/>
    </sheetView>
  </sheetViews>
  <sheetFormatPr defaultRowHeight="10.5" x14ac:dyDescent="0.2"/>
  <cols>
    <col min="1" max="1" width="2.28515625" style="3" customWidth="1"/>
    <col min="2" max="2" width="59.7109375" style="23" customWidth="1"/>
    <col min="3" max="4" width="15.7109375" style="23" customWidth="1"/>
    <col min="5" max="16384" width="9.140625" style="22"/>
  </cols>
  <sheetData>
    <row r="2" spans="2:6" ht="17.100000000000001" customHeight="1" x14ac:dyDescent="0.2">
      <c r="B2" s="522"/>
      <c r="C2" s="521" t="s">
        <v>5</v>
      </c>
      <c r="D2" s="520" t="s">
        <v>4</v>
      </c>
    </row>
    <row r="3" spans="2:6" ht="17.100000000000001" customHeight="1" x14ac:dyDescent="0.2">
      <c r="B3" s="519" t="s">
        <v>364</v>
      </c>
      <c r="C3" s="503">
        <v>943397</v>
      </c>
      <c r="D3" s="502">
        <v>1235941</v>
      </c>
    </row>
    <row r="4" spans="2:6" ht="17.100000000000001" customHeight="1" x14ac:dyDescent="0.2">
      <c r="B4" s="514" t="s">
        <v>363</v>
      </c>
      <c r="C4" s="501">
        <v>44293</v>
      </c>
      <c r="D4" s="500">
        <v>144870</v>
      </c>
    </row>
    <row r="5" spans="2:6" ht="17.100000000000001" customHeight="1" x14ac:dyDescent="0.2">
      <c r="B5" s="514" t="s">
        <v>362</v>
      </c>
      <c r="C5" s="501">
        <v>6964907</v>
      </c>
      <c r="D5" s="500">
        <v>9374045</v>
      </c>
      <c r="F5" s="33"/>
    </row>
    <row r="6" spans="2:6" ht="17.100000000000001" customHeight="1" x14ac:dyDescent="0.2">
      <c r="B6" s="514" t="s">
        <v>361</v>
      </c>
      <c r="C6" s="501">
        <v>114322</v>
      </c>
      <c r="D6" s="500">
        <v>778145</v>
      </c>
    </row>
    <row r="7" spans="2:6" ht="17.100000000000001" customHeight="1" x14ac:dyDescent="0.2">
      <c r="B7" s="515" t="s">
        <v>360</v>
      </c>
      <c r="C7" s="580">
        <v>361725</v>
      </c>
      <c r="D7" s="579">
        <v>427026</v>
      </c>
    </row>
    <row r="8" spans="2:6" ht="17.100000000000001" customHeight="1" x14ac:dyDescent="0.2">
      <c r="B8" s="514" t="s">
        <v>359</v>
      </c>
      <c r="C8" s="501">
        <v>1280</v>
      </c>
      <c r="D8" s="500">
        <v>2053</v>
      </c>
    </row>
    <row r="9" spans="2:6" ht="17.100000000000001" customHeight="1" thickBot="1" x14ac:dyDescent="0.25">
      <c r="B9" s="578" t="s">
        <v>7</v>
      </c>
      <c r="C9" s="577">
        <v>56829</v>
      </c>
      <c r="D9" s="576">
        <v>57251</v>
      </c>
    </row>
    <row r="10" spans="2:6" ht="17.100000000000001" customHeight="1" thickBot="1" x14ac:dyDescent="0.25">
      <c r="B10" s="575" t="s">
        <v>358</v>
      </c>
      <c r="C10" s="574">
        <f>SUM(C3:C9)</f>
        <v>8486753</v>
      </c>
      <c r="D10" s="573">
        <f>SUM(D3:D9)</f>
        <v>12019331</v>
      </c>
    </row>
    <row r="11" spans="2:6" ht="9.9499999999999993" customHeight="1" thickBot="1" x14ac:dyDescent="0.25">
      <c r="B11" s="572"/>
      <c r="C11" s="571"/>
      <c r="D11" s="571"/>
    </row>
    <row r="12" spans="2:6" ht="17.100000000000001" customHeight="1" thickBot="1" x14ac:dyDescent="0.25">
      <c r="B12" s="570" t="s">
        <v>20</v>
      </c>
      <c r="C12" s="569">
        <v>4846880</v>
      </c>
      <c r="D12" s="568">
        <v>5892092</v>
      </c>
    </row>
    <row r="13" spans="2:6" ht="17.100000000000001" customHeight="1" thickBot="1" x14ac:dyDescent="0.25">
      <c r="B13" s="567" t="s">
        <v>19</v>
      </c>
      <c r="C13" s="566">
        <v>3639873</v>
      </c>
      <c r="D13" s="565">
        <v>6127239</v>
      </c>
    </row>
    <row r="15" spans="2:6" x14ac:dyDescent="0.2">
      <c r="B15" s="26"/>
      <c r="C15" s="25"/>
      <c r="D15" s="25"/>
    </row>
    <row r="16" spans="2:6" x14ac:dyDescent="0.2">
      <c r="B16" s="26"/>
      <c r="C16" s="24"/>
      <c r="D16" s="24"/>
    </row>
  </sheetData>
  <pageMargins left="0.39" right="0.3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2:H101"/>
  <sheetViews>
    <sheetView workbookViewId="0">
      <selection activeCell="C40" sqref="C40"/>
    </sheetView>
  </sheetViews>
  <sheetFormatPr defaultRowHeight="10.5" x14ac:dyDescent="0.2"/>
  <cols>
    <col min="1" max="1" width="2.28515625" style="3" customWidth="1"/>
    <col min="2" max="2" width="59.7109375" style="23" customWidth="1"/>
    <col min="3" max="4" width="15.7109375" style="32" customWidth="1"/>
    <col min="5" max="5" width="9.140625" style="22"/>
    <col min="6" max="6" width="15.7109375" style="22" customWidth="1"/>
    <col min="7" max="8" width="9.85546875" style="22" bestFit="1" customWidth="1"/>
    <col min="9" max="16384" width="9.140625" style="22"/>
  </cols>
  <sheetData>
    <row r="2" spans="2:8" ht="17.100000000000001" customHeight="1" x14ac:dyDescent="0.2">
      <c r="B2" s="522"/>
      <c r="C2" s="521" t="s">
        <v>5</v>
      </c>
      <c r="D2" s="520" t="s">
        <v>4</v>
      </c>
    </row>
    <row r="3" spans="2:8" ht="17.100000000000001" customHeight="1" thickBot="1" x14ac:dyDescent="0.25">
      <c r="B3" s="274" t="s">
        <v>221</v>
      </c>
      <c r="C3" s="273">
        <f>SUM(C4:C8)</f>
        <v>53494909</v>
      </c>
      <c r="D3" s="272">
        <f>SUM(D4:D8)</f>
        <v>46117051</v>
      </c>
    </row>
    <row r="4" spans="2:8" ht="17.100000000000001" customHeight="1" x14ac:dyDescent="0.2">
      <c r="B4" s="462" t="s">
        <v>364</v>
      </c>
      <c r="C4" s="593">
        <v>38051354</v>
      </c>
      <c r="D4" s="592">
        <v>32468053</v>
      </c>
    </row>
    <row r="5" spans="2:8" ht="17.100000000000001" customHeight="1" thickBot="1" x14ac:dyDescent="0.25">
      <c r="B5" s="459" t="s">
        <v>363</v>
      </c>
      <c r="C5" s="584">
        <v>15380844</v>
      </c>
      <c r="D5" s="583">
        <v>13604623</v>
      </c>
    </row>
    <row r="6" spans="2:8" ht="17.100000000000001" hidden="1" customHeight="1" x14ac:dyDescent="0.2">
      <c r="B6" s="459" t="s">
        <v>362</v>
      </c>
      <c r="C6" s="584">
        <v>0</v>
      </c>
      <c r="D6" s="583">
        <v>0</v>
      </c>
    </row>
    <row r="7" spans="2:8" ht="17.100000000000001" hidden="1" customHeight="1" thickBot="1" x14ac:dyDescent="0.25">
      <c r="B7" s="458" t="s">
        <v>368</v>
      </c>
      <c r="C7" s="597">
        <v>0</v>
      </c>
      <c r="D7" s="596">
        <v>0</v>
      </c>
    </row>
    <row r="8" spans="2:8" ht="17.100000000000001" customHeight="1" thickBot="1" x14ac:dyDescent="0.25">
      <c r="B8" s="587" t="s">
        <v>367</v>
      </c>
      <c r="C8" s="586">
        <f>SUM(C9:C10)</f>
        <v>62711</v>
      </c>
      <c r="D8" s="585">
        <f>SUM(D9:D10)</f>
        <v>44375</v>
      </c>
    </row>
    <row r="9" spans="2:8" ht="17.100000000000001" customHeight="1" x14ac:dyDescent="0.2">
      <c r="B9" s="268" t="s">
        <v>366</v>
      </c>
      <c r="C9" s="593">
        <v>31098</v>
      </c>
      <c r="D9" s="592">
        <v>22205</v>
      </c>
    </row>
    <row r="10" spans="2:8" ht="17.100000000000001" customHeight="1" thickBot="1" x14ac:dyDescent="0.25">
      <c r="B10" s="271" t="s">
        <v>157</v>
      </c>
      <c r="C10" s="597">
        <v>31613</v>
      </c>
      <c r="D10" s="596">
        <v>22170</v>
      </c>
    </row>
    <row r="11" spans="2:8" ht="17.100000000000001" customHeight="1" thickBot="1" x14ac:dyDescent="0.25">
      <c r="B11" s="255" t="s">
        <v>218</v>
      </c>
      <c r="C11" s="254">
        <f>SUM(C12:C16)</f>
        <v>37383484</v>
      </c>
      <c r="D11" s="253">
        <f>SUM(D12:D16)</f>
        <v>34423929</v>
      </c>
      <c r="G11" s="595"/>
      <c r="H11" s="594"/>
    </row>
    <row r="12" spans="2:8" ht="17.100000000000001" customHeight="1" x14ac:dyDescent="0.2">
      <c r="B12" s="462" t="s">
        <v>364</v>
      </c>
      <c r="C12" s="593">
        <v>22065224</v>
      </c>
      <c r="D12" s="592">
        <v>16800113</v>
      </c>
      <c r="G12" s="591"/>
      <c r="H12" s="233"/>
    </row>
    <row r="13" spans="2:8" ht="17.100000000000001" customHeight="1" x14ac:dyDescent="0.2">
      <c r="B13" s="459" t="s">
        <v>363</v>
      </c>
      <c r="C13" s="584">
        <v>8911873</v>
      </c>
      <c r="D13" s="583">
        <v>12209975</v>
      </c>
      <c r="G13" s="591"/>
      <c r="H13" s="233"/>
    </row>
    <row r="14" spans="2:8" ht="17.100000000000001" customHeight="1" x14ac:dyDescent="0.2">
      <c r="B14" s="459" t="s">
        <v>362</v>
      </c>
      <c r="C14" s="584">
        <v>4201768</v>
      </c>
      <c r="D14" s="583">
        <v>3634064</v>
      </c>
      <c r="G14" s="591"/>
      <c r="H14" s="591"/>
    </row>
    <row r="15" spans="2:8" ht="17.100000000000001" customHeight="1" thickBot="1" x14ac:dyDescent="0.25">
      <c r="B15" s="459" t="s">
        <v>368</v>
      </c>
      <c r="C15" s="513">
        <v>1600487</v>
      </c>
      <c r="D15" s="583">
        <v>1093712</v>
      </c>
      <c r="G15" s="591"/>
      <c r="H15" s="591"/>
    </row>
    <row r="16" spans="2:8" ht="17.100000000000001" customHeight="1" thickBot="1" x14ac:dyDescent="0.25">
      <c r="B16" s="587" t="s">
        <v>367</v>
      </c>
      <c r="C16" s="586">
        <f>SUM(C17:C18)</f>
        <v>604132</v>
      </c>
      <c r="D16" s="585">
        <f>SUM(D17:D18)</f>
        <v>686065</v>
      </c>
      <c r="G16" s="590"/>
      <c r="H16" s="590"/>
    </row>
    <row r="17" spans="2:8" ht="17.100000000000001" customHeight="1" x14ac:dyDescent="0.2">
      <c r="B17" s="222" t="s">
        <v>366</v>
      </c>
      <c r="C17" s="584">
        <v>392425</v>
      </c>
      <c r="D17" s="583">
        <v>566645</v>
      </c>
      <c r="G17" s="589"/>
      <c r="H17" s="588"/>
    </row>
    <row r="18" spans="2:8" ht="17.100000000000001" customHeight="1" thickBot="1" x14ac:dyDescent="0.25">
      <c r="B18" s="222" t="s">
        <v>157</v>
      </c>
      <c r="C18" s="584">
        <v>211707</v>
      </c>
      <c r="D18" s="583">
        <v>119420</v>
      </c>
      <c r="G18" s="589"/>
      <c r="H18" s="588"/>
    </row>
    <row r="19" spans="2:8" ht="17.100000000000001" customHeight="1" thickBot="1" x14ac:dyDescent="0.25">
      <c r="B19" s="255" t="s">
        <v>369</v>
      </c>
      <c r="C19" s="254">
        <f>SUM(C20:C23)</f>
        <v>539569</v>
      </c>
      <c r="D19" s="253">
        <f>SUM(D20:D23)</f>
        <v>599886</v>
      </c>
    </row>
    <row r="20" spans="2:8" ht="17.100000000000001" customHeight="1" x14ac:dyDescent="0.2">
      <c r="B20" s="459" t="s">
        <v>364</v>
      </c>
      <c r="C20" s="584">
        <v>466078</v>
      </c>
      <c r="D20" s="583">
        <v>468038</v>
      </c>
    </row>
    <row r="21" spans="2:8" ht="17.100000000000001" customHeight="1" thickBot="1" x14ac:dyDescent="0.25">
      <c r="B21" s="459" t="s">
        <v>363</v>
      </c>
      <c r="C21" s="584">
        <v>65507</v>
      </c>
      <c r="D21" s="583">
        <v>131104</v>
      </c>
    </row>
    <row r="22" spans="2:8" ht="17.100000000000001" hidden="1" customHeight="1" thickBot="1" x14ac:dyDescent="0.25">
      <c r="B22" s="459" t="s">
        <v>368</v>
      </c>
      <c r="C22" s="584">
        <v>0</v>
      </c>
      <c r="D22" s="583">
        <v>0</v>
      </c>
    </row>
    <row r="23" spans="2:8" ht="17.100000000000001" customHeight="1" thickBot="1" x14ac:dyDescent="0.25">
      <c r="B23" s="587" t="s">
        <v>367</v>
      </c>
      <c r="C23" s="586">
        <f>SUM(C24:C25)</f>
        <v>7984</v>
      </c>
      <c r="D23" s="585">
        <f>SUM(D24:D25)</f>
        <v>744</v>
      </c>
    </row>
    <row r="24" spans="2:8" ht="17.100000000000001" customHeight="1" x14ac:dyDescent="0.2">
      <c r="B24" s="459" t="s">
        <v>366</v>
      </c>
      <c r="C24" s="584">
        <v>3</v>
      </c>
      <c r="D24" s="583">
        <v>0</v>
      </c>
    </row>
    <row r="25" spans="2:8" ht="17.100000000000001" customHeight="1" thickBot="1" x14ac:dyDescent="0.25">
      <c r="B25" s="459" t="s">
        <v>157</v>
      </c>
      <c r="C25" s="584">
        <v>7981</v>
      </c>
      <c r="D25" s="583">
        <v>744</v>
      </c>
    </row>
    <row r="26" spans="2:8" ht="17.100000000000001" customHeight="1" thickBot="1" x14ac:dyDescent="0.25">
      <c r="B26" s="255" t="s">
        <v>365</v>
      </c>
      <c r="C26" s="254">
        <f>C3+C11+C19</f>
        <v>91417962</v>
      </c>
      <c r="D26" s="253">
        <f>D3+D11+D19</f>
        <v>81140866</v>
      </c>
      <c r="F26" s="33"/>
    </row>
    <row r="27" spans="2:8" ht="9.9499999999999993" customHeight="1" thickBot="1" x14ac:dyDescent="0.25">
      <c r="B27" s="582"/>
      <c r="C27" s="581"/>
      <c r="D27" s="581"/>
    </row>
    <row r="28" spans="2:8" ht="17.100000000000001" customHeight="1" thickBot="1" x14ac:dyDescent="0.25">
      <c r="B28" s="255" t="s">
        <v>20</v>
      </c>
      <c r="C28" s="254">
        <v>85191150</v>
      </c>
      <c r="D28" s="253">
        <v>74696817</v>
      </c>
    </row>
    <row r="29" spans="2:8" ht="17.100000000000001" customHeight="1" thickBot="1" x14ac:dyDescent="0.25">
      <c r="B29" s="255" t="s">
        <v>19</v>
      </c>
      <c r="C29" s="254">
        <v>6226812</v>
      </c>
      <c r="D29" s="253">
        <v>6444049</v>
      </c>
    </row>
    <row r="31" spans="2:8" x14ac:dyDescent="0.2">
      <c r="B31" s="26"/>
      <c r="C31" s="25"/>
      <c r="D31" s="25"/>
    </row>
    <row r="32" spans="2:8" x14ac:dyDescent="0.2">
      <c r="B32" s="26"/>
      <c r="C32" s="25"/>
      <c r="D32" s="25"/>
    </row>
    <row r="37" spans="2:4" x14ac:dyDescent="0.2">
      <c r="B37" s="22"/>
      <c r="C37" s="22"/>
      <c r="D37" s="22"/>
    </row>
    <row r="38" spans="2:4" x14ac:dyDescent="0.2">
      <c r="B38" s="22"/>
      <c r="C38" s="22"/>
      <c r="D38" s="22"/>
    </row>
    <row r="39" spans="2:4" x14ac:dyDescent="0.2">
      <c r="B39" s="22"/>
      <c r="C39" s="22"/>
      <c r="D39" s="22"/>
    </row>
    <row r="40" spans="2:4" x14ac:dyDescent="0.2">
      <c r="B40" s="22"/>
      <c r="C40" s="22"/>
      <c r="D40" s="22"/>
    </row>
    <row r="41" spans="2:4" x14ac:dyDescent="0.2">
      <c r="B41" s="22"/>
      <c r="C41" s="22"/>
      <c r="D41" s="22"/>
    </row>
    <row r="42" spans="2:4" x14ac:dyDescent="0.2">
      <c r="B42" s="22"/>
      <c r="C42" s="22"/>
      <c r="D42" s="22"/>
    </row>
    <row r="43" spans="2:4" x14ac:dyDescent="0.2">
      <c r="B43" s="22"/>
      <c r="C43" s="22"/>
      <c r="D43" s="22"/>
    </row>
    <row r="44" spans="2:4" x14ac:dyDescent="0.2">
      <c r="B44" s="22"/>
      <c r="C44" s="22"/>
      <c r="D44" s="22"/>
    </row>
    <row r="45" spans="2:4" x14ac:dyDescent="0.2">
      <c r="B45" s="22"/>
      <c r="C45" s="22"/>
      <c r="D45" s="22"/>
    </row>
    <row r="46" spans="2:4" x14ac:dyDescent="0.2">
      <c r="B46" s="22"/>
      <c r="C46" s="22"/>
      <c r="D46" s="22"/>
    </row>
    <row r="47" spans="2:4" x14ac:dyDescent="0.2">
      <c r="B47" s="22"/>
      <c r="C47" s="22"/>
      <c r="D47" s="22"/>
    </row>
    <row r="48" spans="2:4" x14ac:dyDescent="0.2">
      <c r="B48" s="22"/>
      <c r="C48" s="22"/>
      <c r="D48" s="22"/>
    </row>
    <row r="49" spans="2:4" x14ac:dyDescent="0.2">
      <c r="B49" s="22"/>
      <c r="C49" s="22"/>
      <c r="D49" s="22"/>
    </row>
    <row r="50" spans="2:4" x14ac:dyDescent="0.2">
      <c r="B50" s="22"/>
      <c r="C50" s="22"/>
      <c r="D50" s="22"/>
    </row>
    <row r="51" spans="2:4" x14ac:dyDescent="0.2">
      <c r="B51" s="22"/>
      <c r="C51" s="22"/>
      <c r="D51" s="22"/>
    </row>
    <row r="52" spans="2:4" x14ac:dyDescent="0.2">
      <c r="B52" s="22"/>
      <c r="C52" s="22"/>
      <c r="D52" s="22"/>
    </row>
    <row r="53" spans="2:4" x14ac:dyDescent="0.2">
      <c r="B53" s="22"/>
      <c r="C53" s="22"/>
      <c r="D53" s="22"/>
    </row>
    <row r="54" spans="2:4" x14ac:dyDescent="0.2">
      <c r="B54" s="22"/>
      <c r="C54" s="22"/>
      <c r="D54" s="22"/>
    </row>
    <row r="55" spans="2:4" x14ac:dyDescent="0.2">
      <c r="B55" s="22"/>
      <c r="C55" s="22"/>
      <c r="D55" s="22"/>
    </row>
    <row r="56" spans="2:4" x14ac:dyDescent="0.2">
      <c r="B56" s="22"/>
      <c r="C56" s="22"/>
      <c r="D56" s="22"/>
    </row>
    <row r="57" spans="2:4" x14ac:dyDescent="0.2">
      <c r="B57" s="22"/>
      <c r="C57" s="22"/>
      <c r="D57" s="22"/>
    </row>
    <row r="58" spans="2:4" x14ac:dyDescent="0.2">
      <c r="B58" s="22"/>
      <c r="C58" s="22"/>
      <c r="D58" s="22"/>
    </row>
    <row r="59" spans="2:4" x14ac:dyDescent="0.2">
      <c r="B59" s="22"/>
      <c r="C59" s="22"/>
      <c r="D59" s="22"/>
    </row>
    <row r="60" spans="2:4" x14ac:dyDescent="0.2">
      <c r="B60" s="22"/>
      <c r="C60" s="22"/>
      <c r="D60" s="22"/>
    </row>
    <row r="61" spans="2:4" x14ac:dyDescent="0.2">
      <c r="B61" s="22"/>
      <c r="C61" s="22"/>
      <c r="D61" s="22"/>
    </row>
    <row r="62" spans="2:4" x14ac:dyDescent="0.2">
      <c r="B62" s="22"/>
      <c r="C62" s="22"/>
      <c r="D62" s="22"/>
    </row>
    <row r="63" spans="2:4" x14ac:dyDescent="0.2">
      <c r="B63" s="22"/>
      <c r="C63" s="22"/>
      <c r="D63" s="22"/>
    </row>
    <row r="64" spans="2:4" x14ac:dyDescent="0.2">
      <c r="B64" s="22"/>
      <c r="C64" s="22"/>
      <c r="D64" s="22"/>
    </row>
    <row r="65" spans="2:4" x14ac:dyDescent="0.2">
      <c r="B65" s="22"/>
      <c r="C65" s="22"/>
      <c r="D65" s="22"/>
    </row>
    <row r="66" spans="2:4" x14ac:dyDescent="0.2">
      <c r="B66" s="22"/>
      <c r="C66" s="22"/>
      <c r="D66" s="22"/>
    </row>
    <row r="67" spans="2:4" x14ac:dyDescent="0.2">
      <c r="B67" s="22"/>
      <c r="C67" s="22"/>
      <c r="D67" s="22"/>
    </row>
    <row r="68" spans="2:4" x14ac:dyDescent="0.2">
      <c r="B68" s="22"/>
      <c r="C68" s="22"/>
      <c r="D68" s="22"/>
    </row>
    <row r="69" spans="2:4" x14ac:dyDescent="0.2">
      <c r="B69" s="22"/>
      <c r="C69" s="22"/>
      <c r="D69" s="22"/>
    </row>
    <row r="70" spans="2:4" x14ac:dyDescent="0.2">
      <c r="B70" s="22"/>
      <c r="C70" s="22"/>
      <c r="D70" s="22"/>
    </row>
    <row r="71" spans="2:4" x14ac:dyDescent="0.2">
      <c r="B71" s="22"/>
      <c r="C71" s="22"/>
      <c r="D71" s="22"/>
    </row>
    <row r="72" spans="2:4" x14ac:dyDescent="0.2">
      <c r="B72" s="22"/>
      <c r="C72" s="22"/>
      <c r="D72" s="22"/>
    </row>
    <row r="73" spans="2:4" x14ac:dyDescent="0.2">
      <c r="B73" s="22"/>
      <c r="C73" s="22"/>
      <c r="D73" s="22"/>
    </row>
    <row r="74" spans="2:4" x14ac:dyDescent="0.2">
      <c r="B74" s="234"/>
    </row>
    <row r="75" spans="2:4" x14ac:dyDescent="0.2">
      <c r="B75" s="234"/>
    </row>
    <row r="76" spans="2:4" x14ac:dyDescent="0.2">
      <c r="B76" s="234"/>
    </row>
    <row r="77" spans="2:4" x14ac:dyDescent="0.2">
      <c r="B77" s="234"/>
    </row>
    <row r="78" spans="2:4" x14ac:dyDescent="0.2">
      <c r="B78" s="234"/>
    </row>
    <row r="79" spans="2:4" x14ac:dyDescent="0.2">
      <c r="B79" s="234"/>
    </row>
    <row r="80" spans="2:4" x14ac:dyDescent="0.2">
      <c r="B80" s="234"/>
    </row>
    <row r="81" spans="2:2" x14ac:dyDescent="0.2">
      <c r="B81" s="234"/>
    </row>
    <row r="82" spans="2:2" x14ac:dyDescent="0.2">
      <c r="B82" s="234"/>
    </row>
    <row r="83" spans="2:2" x14ac:dyDescent="0.2">
      <c r="B83" s="234"/>
    </row>
    <row r="84" spans="2:2" x14ac:dyDescent="0.2">
      <c r="B84" s="234"/>
    </row>
    <row r="85" spans="2:2" x14ac:dyDescent="0.2">
      <c r="B85" s="234"/>
    </row>
    <row r="86" spans="2:2" x14ac:dyDescent="0.2">
      <c r="B86" s="234"/>
    </row>
    <row r="87" spans="2:2" x14ac:dyDescent="0.2">
      <c r="B87" s="234"/>
    </row>
    <row r="88" spans="2:2" x14ac:dyDescent="0.2">
      <c r="B88" s="234"/>
    </row>
    <row r="89" spans="2:2" x14ac:dyDescent="0.2">
      <c r="B89" s="234"/>
    </row>
    <row r="90" spans="2:2" x14ac:dyDescent="0.2">
      <c r="B90" s="234"/>
    </row>
    <row r="91" spans="2:2" x14ac:dyDescent="0.2">
      <c r="B91" s="234"/>
    </row>
    <row r="92" spans="2:2" x14ac:dyDescent="0.2">
      <c r="B92" s="234"/>
    </row>
    <row r="93" spans="2:2" x14ac:dyDescent="0.2">
      <c r="B93" s="234"/>
    </row>
    <row r="94" spans="2:2" x14ac:dyDescent="0.2">
      <c r="B94" s="234"/>
    </row>
    <row r="95" spans="2:2" x14ac:dyDescent="0.2">
      <c r="B95" s="234"/>
    </row>
    <row r="96" spans="2:2" x14ac:dyDescent="0.2">
      <c r="B96" s="234"/>
    </row>
    <row r="97" spans="2:2" x14ac:dyDescent="0.2">
      <c r="B97" s="234"/>
    </row>
    <row r="98" spans="2:2" x14ac:dyDescent="0.2">
      <c r="B98" s="234"/>
    </row>
    <row r="99" spans="2:2" x14ac:dyDescent="0.2">
      <c r="B99" s="234"/>
    </row>
    <row r="100" spans="2:2" x14ac:dyDescent="0.2">
      <c r="B100" s="234"/>
    </row>
    <row r="101" spans="2:2" x14ac:dyDescent="0.2">
      <c r="B101" s="234"/>
    </row>
  </sheetData>
  <pageMargins left="0.75" right="0.75" top="1" bottom="1" header="0.5" footer="0.5"/>
  <pageSetup paperSize="9" scale="7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2:J159"/>
  <sheetViews>
    <sheetView workbookViewId="0">
      <selection activeCell="G6" sqref="G6"/>
    </sheetView>
  </sheetViews>
  <sheetFormatPr defaultRowHeight="10.5" x14ac:dyDescent="0.2"/>
  <cols>
    <col min="1" max="1" width="25.85546875" style="598" customWidth="1"/>
    <col min="2" max="2" width="15.7109375" style="599" customWidth="1"/>
    <col min="3" max="3" width="16.7109375" style="599" customWidth="1"/>
    <col min="4" max="4" width="32.5703125" style="599" customWidth="1"/>
    <col min="5" max="5" width="16.7109375" style="599" customWidth="1"/>
    <col min="6" max="6" width="16.7109375" style="598" customWidth="1"/>
    <col min="7" max="7" width="9.140625" style="598"/>
    <col min="8" max="8" width="9.5703125" style="598" bestFit="1" customWidth="1"/>
    <col min="9" max="16384" width="9.140625" style="598"/>
  </cols>
  <sheetData>
    <row r="2" spans="1:10" x14ac:dyDescent="0.2">
      <c r="A2" s="997" t="s">
        <v>449</v>
      </c>
      <c r="B2" s="997"/>
      <c r="C2" s="997"/>
      <c r="D2" s="997"/>
      <c r="E2" s="997"/>
    </row>
    <row r="4" spans="1:10" ht="17.100000000000001" customHeight="1" x14ac:dyDescent="0.2">
      <c r="A4" s="634" t="s">
        <v>448</v>
      </c>
      <c r="I4" s="598" t="s">
        <v>447</v>
      </c>
      <c r="J4" s="598">
        <v>4.4240000000000004</v>
      </c>
    </row>
    <row r="5" spans="1:10" ht="31.5" x14ac:dyDescent="0.2">
      <c r="A5" s="628" t="s">
        <v>413</v>
      </c>
      <c r="B5" s="627" t="s">
        <v>412</v>
      </c>
      <c r="C5" s="627" t="s">
        <v>411</v>
      </c>
      <c r="D5" s="627" t="s">
        <v>410</v>
      </c>
      <c r="E5" s="626" t="s">
        <v>409</v>
      </c>
      <c r="F5" s="625" t="s">
        <v>408</v>
      </c>
    </row>
    <row r="6" spans="1:10" ht="17.100000000000001" customHeight="1" thickBot="1" x14ac:dyDescent="0.25">
      <c r="A6" s="624" t="s">
        <v>418</v>
      </c>
      <c r="B6" s="623">
        <f>SUM(B7:B36)</f>
        <v>1102190</v>
      </c>
      <c r="C6" s="622"/>
      <c r="D6" s="622"/>
      <c r="E6" s="622"/>
      <c r="F6" s="621">
        <f>SUM(F7:F35)</f>
        <v>1101802</v>
      </c>
    </row>
    <row r="7" spans="1:10" ht="17.100000000000001" customHeight="1" x14ac:dyDescent="0.2">
      <c r="A7" s="620" t="s">
        <v>395</v>
      </c>
      <c r="B7" s="619">
        <v>86000</v>
      </c>
      <c r="C7" s="618">
        <v>2.0899999999999998E-2</v>
      </c>
      <c r="D7" s="617" t="s">
        <v>394</v>
      </c>
      <c r="E7" s="616" t="s">
        <v>446</v>
      </c>
      <c r="F7" s="615">
        <v>85995</v>
      </c>
    </row>
    <row r="8" spans="1:10" ht="17.100000000000001" customHeight="1" x14ac:dyDescent="0.2">
      <c r="A8" s="515" t="s">
        <v>395</v>
      </c>
      <c r="B8" s="614">
        <v>100000</v>
      </c>
      <c r="C8" s="613">
        <v>2.1000000000000001E-2</v>
      </c>
      <c r="D8" s="613" t="s">
        <v>394</v>
      </c>
      <c r="E8" s="612" t="s">
        <v>445</v>
      </c>
      <c r="F8" s="611">
        <v>99982</v>
      </c>
    </row>
    <row r="9" spans="1:10" ht="17.100000000000001" customHeight="1" x14ac:dyDescent="0.2">
      <c r="A9" s="515" t="s">
        <v>395</v>
      </c>
      <c r="B9" s="643">
        <v>50000</v>
      </c>
      <c r="C9" s="613">
        <v>1.9400000000000001E-2</v>
      </c>
      <c r="D9" s="644" t="s">
        <v>394</v>
      </c>
      <c r="E9" s="612" t="s">
        <v>444</v>
      </c>
      <c r="F9" s="641">
        <v>49987</v>
      </c>
    </row>
    <row r="10" spans="1:10" ht="17.100000000000001" customHeight="1" x14ac:dyDescent="0.2">
      <c r="A10" s="515" t="s">
        <v>395</v>
      </c>
      <c r="B10" s="643">
        <v>25000</v>
      </c>
      <c r="C10" s="613">
        <v>1.9300000000000001E-2</v>
      </c>
      <c r="D10" s="644" t="s">
        <v>394</v>
      </c>
      <c r="E10" s="612" t="s">
        <v>443</v>
      </c>
      <c r="F10" s="641">
        <v>24988</v>
      </c>
    </row>
    <row r="11" spans="1:10" ht="17.100000000000001" customHeight="1" x14ac:dyDescent="0.2">
      <c r="A11" s="515" t="s">
        <v>395</v>
      </c>
      <c r="B11" s="614">
        <v>10000</v>
      </c>
      <c r="C11" s="613">
        <v>2.12E-2</v>
      </c>
      <c r="D11" s="613" t="s">
        <v>394</v>
      </c>
      <c r="E11" s="612" t="s">
        <v>442</v>
      </c>
      <c r="F11" s="611">
        <v>9995</v>
      </c>
    </row>
    <row r="12" spans="1:10" ht="17.100000000000001" customHeight="1" x14ac:dyDescent="0.2">
      <c r="A12" s="515" t="s">
        <v>395</v>
      </c>
      <c r="B12" s="643">
        <v>10000</v>
      </c>
      <c r="C12" s="613">
        <v>2.12E-2</v>
      </c>
      <c r="D12" s="644" t="s">
        <v>394</v>
      </c>
      <c r="E12" s="612" t="s">
        <v>441</v>
      </c>
      <c r="F12" s="641">
        <v>9995</v>
      </c>
    </row>
    <row r="13" spans="1:10" ht="17.100000000000001" customHeight="1" x14ac:dyDescent="0.2">
      <c r="A13" s="515" t="s">
        <v>395</v>
      </c>
      <c r="B13" s="643">
        <v>25000</v>
      </c>
      <c r="C13" s="613">
        <v>1.9199999999999998E-2</v>
      </c>
      <c r="D13" s="644" t="s">
        <v>394</v>
      </c>
      <c r="E13" s="612" t="s">
        <v>440</v>
      </c>
      <c r="F13" s="641">
        <v>24984</v>
      </c>
    </row>
    <row r="14" spans="1:10" ht="17.100000000000001" customHeight="1" x14ac:dyDescent="0.2">
      <c r="A14" s="515" t="s">
        <v>395</v>
      </c>
      <c r="B14" s="643">
        <v>18000</v>
      </c>
      <c r="C14" s="613">
        <v>1.9199999999999998E-2</v>
      </c>
      <c r="D14" s="644" t="s">
        <v>394</v>
      </c>
      <c r="E14" s="612" t="s">
        <v>439</v>
      </c>
      <c r="F14" s="641">
        <v>17985</v>
      </c>
    </row>
    <row r="15" spans="1:10" ht="17.100000000000001" customHeight="1" x14ac:dyDescent="0.2">
      <c r="A15" s="515" t="s">
        <v>395</v>
      </c>
      <c r="B15" s="643">
        <v>20000</v>
      </c>
      <c r="C15" s="613">
        <v>1.9599999999999999E-2</v>
      </c>
      <c r="D15" s="644" t="s">
        <v>394</v>
      </c>
      <c r="E15" s="612" t="s">
        <v>438</v>
      </c>
      <c r="F15" s="641">
        <v>19981</v>
      </c>
    </row>
    <row r="16" spans="1:10" ht="17.100000000000001" customHeight="1" x14ac:dyDescent="0.2">
      <c r="A16" s="515" t="s">
        <v>395</v>
      </c>
      <c r="B16" s="643">
        <v>10000</v>
      </c>
      <c r="C16" s="613">
        <v>2.12E-2</v>
      </c>
      <c r="D16" s="644" t="s">
        <v>394</v>
      </c>
      <c r="E16" s="612" t="s">
        <v>437</v>
      </c>
      <c r="F16" s="641">
        <v>9988</v>
      </c>
    </row>
    <row r="17" spans="1:6" ht="17.100000000000001" customHeight="1" x14ac:dyDescent="0.2">
      <c r="A17" s="515" t="s">
        <v>395</v>
      </c>
      <c r="B17" s="643">
        <v>18000</v>
      </c>
      <c r="C17" s="613">
        <v>2.01E-2</v>
      </c>
      <c r="D17" s="644" t="s">
        <v>394</v>
      </c>
      <c r="E17" s="612" t="s">
        <v>436</v>
      </c>
      <c r="F17" s="641">
        <v>17970</v>
      </c>
    </row>
    <row r="18" spans="1:6" ht="17.100000000000001" customHeight="1" x14ac:dyDescent="0.2">
      <c r="A18" s="515" t="s">
        <v>395</v>
      </c>
      <c r="B18" s="614">
        <v>15000</v>
      </c>
      <c r="C18" s="613">
        <v>2.12E-2</v>
      </c>
      <c r="D18" s="613" t="s">
        <v>394</v>
      </c>
      <c r="E18" s="612" t="s">
        <v>435</v>
      </c>
      <c r="F18" s="611">
        <v>14970</v>
      </c>
    </row>
    <row r="19" spans="1:6" ht="17.100000000000001" customHeight="1" x14ac:dyDescent="0.2">
      <c r="A19" s="515" t="s">
        <v>395</v>
      </c>
      <c r="B19" s="614">
        <v>12000</v>
      </c>
      <c r="C19" s="613">
        <v>2.12E-2</v>
      </c>
      <c r="D19" s="613" t="s">
        <v>394</v>
      </c>
      <c r="E19" s="612" t="s">
        <v>434</v>
      </c>
      <c r="F19" s="611">
        <v>11972</v>
      </c>
    </row>
    <row r="20" spans="1:6" ht="17.100000000000001" customHeight="1" x14ac:dyDescent="0.2">
      <c r="A20" s="515" t="s">
        <v>395</v>
      </c>
      <c r="B20" s="614">
        <v>30000</v>
      </c>
      <c r="C20" s="613">
        <v>2.01E-2</v>
      </c>
      <c r="D20" s="613" t="s">
        <v>394</v>
      </c>
      <c r="E20" s="612" t="s">
        <v>434</v>
      </c>
      <c r="F20" s="611">
        <v>29933</v>
      </c>
    </row>
    <row r="21" spans="1:6" ht="17.100000000000001" customHeight="1" x14ac:dyDescent="0.2">
      <c r="A21" s="515" t="s">
        <v>395</v>
      </c>
      <c r="B21" s="614">
        <v>17000</v>
      </c>
      <c r="C21" s="613">
        <v>2.1299999999999999E-2</v>
      </c>
      <c r="D21" s="613" t="s">
        <v>394</v>
      </c>
      <c r="E21" s="612" t="s">
        <v>433</v>
      </c>
      <c r="F21" s="611">
        <v>16953</v>
      </c>
    </row>
    <row r="22" spans="1:6" ht="17.100000000000001" customHeight="1" x14ac:dyDescent="0.2">
      <c r="A22" s="515" t="s">
        <v>395</v>
      </c>
      <c r="B22" s="614">
        <v>10000</v>
      </c>
      <c r="C22" s="613">
        <v>2.0400000000000001E-2</v>
      </c>
      <c r="D22" s="613" t="s">
        <v>394</v>
      </c>
      <c r="E22" s="612" t="s">
        <v>432</v>
      </c>
      <c r="F22" s="611">
        <v>9973</v>
      </c>
    </row>
    <row r="23" spans="1:6" ht="17.100000000000001" customHeight="1" x14ac:dyDescent="0.2">
      <c r="A23" s="515" t="s">
        <v>395</v>
      </c>
      <c r="B23" s="614">
        <f>60000+10000</f>
        <v>70000</v>
      </c>
      <c r="C23" s="613">
        <v>2.0400000000000001E-2</v>
      </c>
      <c r="D23" s="613" t="s">
        <v>394</v>
      </c>
      <c r="E23" s="612" t="s">
        <v>431</v>
      </c>
      <c r="F23" s="611">
        <f>59824+9971</f>
        <v>69795</v>
      </c>
    </row>
    <row r="24" spans="1:6" ht="17.100000000000001" customHeight="1" x14ac:dyDescent="0.2">
      <c r="A24" s="515" t="s">
        <v>395</v>
      </c>
      <c r="B24" s="614">
        <v>11000</v>
      </c>
      <c r="C24" s="613">
        <v>2.0899999999999998E-2</v>
      </c>
      <c r="D24" s="613" t="s">
        <v>394</v>
      </c>
      <c r="E24" s="612" t="s">
        <v>431</v>
      </c>
      <c r="F24" s="611">
        <v>10967</v>
      </c>
    </row>
    <row r="25" spans="1:6" ht="17.100000000000001" customHeight="1" x14ac:dyDescent="0.2">
      <c r="A25" s="515" t="s">
        <v>395</v>
      </c>
      <c r="B25" s="614">
        <v>3600</v>
      </c>
      <c r="C25" s="613">
        <v>2.1000000000000001E-2</v>
      </c>
      <c r="D25" s="613" t="s">
        <v>394</v>
      </c>
      <c r="E25" s="612" t="s">
        <v>431</v>
      </c>
      <c r="F25" s="611">
        <v>3589</v>
      </c>
    </row>
    <row r="26" spans="1:6" ht="17.100000000000001" customHeight="1" x14ac:dyDescent="0.2">
      <c r="A26" s="515" t="s">
        <v>395</v>
      </c>
      <c r="B26" s="614">
        <v>37200</v>
      </c>
      <c r="C26" s="613">
        <v>2.1299999999999999E-2</v>
      </c>
      <c r="D26" s="613" t="s">
        <v>394</v>
      </c>
      <c r="E26" s="612" t="s">
        <v>430</v>
      </c>
      <c r="F26" s="611">
        <f>29878+7073</f>
        <v>36951</v>
      </c>
    </row>
    <row r="27" spans="1:6" ht="17.100000000000001" customHeight="1" x14ac:dyDescent="0.2">
      <c r="A27" s="515" t="s">
        <v>395</v>
      </c>
      <c r="B27" s="614">
        <v>15000</v>
      </c>
      <c r="C27" s="613">
        <v>2.1299999999999999E-2</v>
      </c>
      <c r="D27" s="613" t="s">
        <v>394</v>
      </c>
      <c r="E27" s="612" t="s">
        <v>429</v>
      </c>
      <c r="F27" s="611">
        <v>14936</v>
      </c>
    </row>
    <row r="28" spans="1:6" ht="17.100000000000001" customHeight="1" x14ac:dyDescent="0.2">
      <c r="A28" s="515" t="s">
        <v>395</v>
      </c>
      <c r="B28" s="614">
        <f>15000+7000</f>
        <v>22000</v>
      </c>
      <c r="C28" s="613">
        <v>2.1299999999999999E-2</v>
      </c>
      <c r="D28" s="613" t="s">
        <v>394</v>
      </c>
      <c r="E28" s="612" t="s">
        <v>428</v>
      </c>
      <c r="F28" s="611">
        <f>14929+6967</f>
        <v>21896</v>
      </c>
    </row>
    <row r="29" spans="1:6" ht="17.100000000000001" customHeight="1" x14ac:dyDescent="0.2">
      <c r="A29" s="515" t="s">
        <v>395</v>
      </c>
      <c r="B29" s="614">
        <v>30000</v>
      </c>
      <c r="C29" s="613">
        <v>2.1299999999999999E-2</v>
      </c>
      <c r="D29" s="644" t="s">
        <v>394</v>
      </c>
      <c r="E29" s="612" t="s">
        <v>427</v>
      </c>
      <c r="F29" s="611">
        <v>29853</v>
      </c>
    </row>
    <row r="30" spans="1:6" ht="17.100000000000001" customHeight="1" x14ac:dyDescent="0.2">
      <c r="A30" s="515" t="s">
        <v>395</v>
      </c>
      <c r="B30" s="614">
        <v>20000</v>
      </c>
      <c r="C30" s="613">
        <v>2.1499999999999998E-2</v>
      </c>
      <c r="D30" s="644" t="s">
        <v>394</v>
      </c>
      <c r="E30" s="612" t="s">
        <v>426</v>
      </c>
      <c r="F30" s="611">
        <v>19888</v>
      </c>
    </row>
    <row r="31" spans="1:6" ht="17.100000000000001" customHeight="1" x14ac:dyDescent="0.2">
      <c r="A31" s="515" t="s">
        <v>395</v>
      </c>
      <c r="B31" s="614">
        <v>39900</v>
      </c>
      <c r="C31" s="613">
        <v>2.1999999999999999E-2</v>
      </c>
      <c r="D31" s="644" t="s">
        <v>394</v>
      </c>
      <c r="E31" s="612" t="s">
        <v>406</v>
      </c>
      <c r="F31" s="611">
        <f>39633-27</f>
        <v>39606</v>
      </c>
    </row>
    <row r="32" spans="1:6" ht="17.100000000000001" customHeight="1" x14ac:dyDescent="0.2">
      <c r="A32" s="515" t="s">
        <v>378</v>
      </c>
      <c r="B32" s="614">
        <v>200000</v>
      </c>
      <c r="C32" s="613">
        <v>3.09E-2</v>
      </c>
      <c r="D32" s="613" t="s">
        <v>372</v>
      </c>
      <c r="E32" s="612" t="s">
        <v>406</v>
      </c>
      <c r="F32" s="611">
        <v>201188</v>
      </c>
    </row>
    <row r="33" spans="1:8" ht="17.100000000000001" customHeight="1" x14ac:dyDescent="0.2">
      <c r="A33" s="515" t="s">
        <v>378</v>
      </c>
      <c r="B33" s="614">
        <v>153250</v>
      </c>
      <c r="C33" s="613">
        <v>2.7900000000000001E-2</v>
      </c>
      <c r="D33" s="613" t="s">
        <v>372</v>
      </c>
      <c r="E33" s="612" t="s">
        <v>405</v>
      </c>
      <c r="F33" s="611">
        <v>153104</v>
      </c>
    </row>
    <row r="34" spans="1:8" ht="16.5" customHeight="1" thickBot="1" x14ac:dyDescent="0.25">
      <c r="A34" s="578" t="s">
        <v>373</v>
      </c>
      <c r="B34" s="633">
        <f>10000*J4</f>
        <v>44240.000000000007</v>
      </c>
      <c r="C34" s="648">
        <v>1.6959999999999999E-2</v>
      </c>
      <c r="D34" s="632" t="s">
        <v>372</v>
      </c>
      <c r="E34" s="631" t="s">
        <v>404</v>
      </c>
      <c r="F34" s="630">
        <v>44378</v>
      </c>
    </row>
    <row r="35" spans="1:8" ht="17.100000000000001" hidden="1" customHeight="1" x14ac:dyDescent="0.2">
      <c r="A35" s="519"/>
      <c r="B35" s="647"/>
      <c r="C35" s="646"/>
      <c r="D35" s="618"/>
      <c r="E35" s="616"/>
      <c r="F35" s="645"/>
    </row>
    <row r="36" spans="1:8" ht="31.5" hidden="1" x14ac:dyDescent="0.2">
      <c r="A36" s="628" t="s">
        <v>413</v>
      </c>
      <c r="B36" s="627" t="s">
        <v>412</v>
      </c>
      <c r="C36" s="627" t="s">
        <v>411</v>
      </c>
      <c r="D36" s="627" t="s">
        <v>410</v>
      </c>
      <c r="E36" s="626" t="s">
        <v>409</v>
      </c>
      <c r="F36" s="625" t="s">
        <v>408</v>
      </c>
    </row>
    <row r="37" spans="1:8" ht="17.100000000000001" customHeight="1" thickBot="1" x14ac:dyDescent="0.25">
      <c r="A37" s="624" t="s">
        <v>407</v>
      </c>
      <c r="B37" s="623">
        <f>SUM(B38:B74)</f>
        <v>11522883</v>
      </c>
      <c r="C37" s="622"/>
      <c r="D37" s="622"/>
      <c r="E37" s="622"/>
      <c r="F37" s="621">
        <f>SUM(F38:F74)</f>
        <v>11558587</v>
      </c>
      <c r="H37" s="603"/>
    </row>
    <row r="38" spans="1:8" ht="17.100000000000001" customHeight="1" x14ac:dyDescent="0.2">
      <c r="A38" s="620" t="s">
        <v>373</v>
      </c>
      <c r="B38" s="619">
        <f>7500*J4</f>
        <v>33180</v>
      </c>
      <c r="C38" s="642">
        <v>6.11E-3</v>
      </c>
      <c r="D38" s="617" t="s">
        <v>372</v>
      </c>
      <c r="E38" s="616" t="s">
        <v>403</v>
      </c>
      <c r="F38" s="615">
        <v>33202</v>
      </c>
    </row>
    <row r="39" spans="1:8" ht="17.100000000000001" customHeight="1" x14ac:dyDescent="0.2">
      <c r="A39" s="515" t="s">
        <v>378</v>
      </c>
      <c r="B39" s="614">
        <v>108900</v>
      </c>
      <c r="C39" s="613">
        <v>3.5000000000000003E-2</v>
      </c>
      <c r="D39" s="613" t="s">
        <v>372</v>
      </c>
      <c r="E39" s="612" t="s">
        <v>402</v>
      </c>
      <c r="F39" s="611">
        <f>108002-48</f>
        <v>107954</v>
      </c>
    </row>
    <row r="40" spans="1:8" ht="17.100000000000001" customHeight="1" x14ac:dyDescent="0.2">
      <c r="A40" s="515" t="s">
        <v>401</v>
      </c>
      <c r="B40" s="643">
        <v>823913</v>
      </c>
      <c r="C40" s="613">
        <v>2.5000000000000001E-2</v>
      </c>
      <c r="D40" s="613" t="s">
        <v>384</v>
      </c>
      <c r="E40" s="612" t="s">
        <v>400</v>
      </c>
      <c r="F40" s="611">
        <v>826810</v>
      </c>
    </row>
    <row r="41" spans="1:8" ht="17.100000000000001" customHeight="1" x14ac:dyDescent="0.2">
      <c r="A41" s="515" t="s">
        <v>373</v>
      </c>
      <c r="B41" s="614">
        <f>50000*4.424</f>
        <v>221200.00000000003</v>
      </c>
      <c r="C41" s="642">
        <v>8.1700000000000002E-3</v>
      </c>
      <c r="D41" s="613" t="s">
        <v>372</v>
      </c>
      <c r="E41" s="612" t="s">
        <v>399</v>
      </c>
      <c r="F41" s="611">
        <v>221338</v>
      </c>
    </row>
    <row r="42" spans="1:8" ht="17.100000000000001" customHeight="1" x14ac:dyDescent="0.2">
      <c r="A42" s="515" t="s">
        <v>373</v>
      </c>
      <c r="B42" s="614">
        <f>20000*4.424</f>
        <v>88480.000000000015</v>
      </c>
      <c r="C42" s="642">
        <v>1.115E-2</v>
      </c>
      <c r="D42" s="613" t="s">
        <v>372</v>
      </c>
      <c r="E42" s="612" t="s">
        <v>399</v>
      </c>
      <c r="F42" s="611">
        <v>88459</v>
      </c>
    </row>
    <row r="43" spans="1:8" ht="17.100000000000001" customHeight="1" x14ac:dyDescent="0.2">
      <c r="A43" s="515" t="s">
        <v>398</v>
      </c>
      <c r="B43" s="614">
        <v>81862</v>
      </c>
      <c r="C43" s="642">
        <v>2.3199999999999998E-2</v>
      </c>
      <c r="D43" s="613" t="s">
        <v>384</v>
      </c>
      <c r="E43" s="612" t="s">
        <v>397</v>
      </c>
      <c r="F43" s="611">
        <v>81994</v>
      </c>
    </row>
    <row r="44" spans="1:8" ht="17.100000000000001" customHeight="1" x14ac:dyDescent="0.2">
      <c r="A44" s="515" t="s">
        <v>395</v>
      </c>
      <c r="B44" s="614">
        <v>12000</v>
      </c>
      <c r="C44" s="613">
        <v>3.2399999999999998E-2</v>
      </c>
      <c r="D44" s="644" t="s">
        <v>394</v>
      </c>
      <c r="E44" s="612" t="s">
        <v>396</v>
      </c>
      <c r="F44" s="611">
        <v>12030</v>
      </c>
    </row>
    <row r="45" spans="1:8" ht="17.100000000000001" customHeight="1" x14ac:dyDescent="0.2">
      <c r="A45" s="515" t="s">
        <v>395</v>
      </c>
      <c r="B45" s="614">
        <v>50000</v>
      </c>
      <c r="C45" s="613">
        <v>3.1699999999999999E-2</v>
      </c>
      <c r="D45" s="644" t="s">
        <v>394</v>
      </c>
      <c r="E45" s="612" t="s">
        <v>393</v>
      </c>
      <c r="F45" s="611">
        <v>50055</v>
      </c>
    </row>
    <row r="46" spans="1:8" ht="17.100000000000001" customHeight="1" x14ac:dyDescent="0.2">
      <c r="A46" s="515" t="s">
        <v>385</v>
      </c>
      <c r="B46" s="614">
        <v>2212000</v>
      </c>
      <c r="C46" s="642">
        <v>2.375E-2</v>
      </c>
      <c r="D46" s="644" t="s">
        <v>384</v>
      </c>
      <c r="E46" s="612" t="s">
        <v>392</v>
      </c>
      <c r="F46" s="611">
        <v>2243819</v>
      </c>
    </row>
    <row r="47" spans="1:8" ht="17.100000000000001" customHeight="1" x14ac:dyDescent="0.2">
      <c r="A47" s="515" t="s">
        <v>378</v>
      </c>
      <c r="B47" s="614">
        <v>80000</v>
      </c>
      <c r="C47" s="613">
        <v>2.81E-2</v>
      </c>
      <c r="D47" s="613" t="s">
        <v>372</v>
      </c>
      <c r="E47" s="612" t="s">
        <v>391</v>
      </c>
      <c r="F47" s="611">
        <v>80015</v>
      </c>
    </row>
    <row r="48" spans="1:8" ht="17.100000000000001" customHeight="1" x14ac:dyDescent="0.2">
      <c r="A48" s="515" t="s">
        <v>373</v>
      </c>
      <c r="B48" s="643">
        <f>50000*4.424</f>
        <v>221200.00000000003</v>
      </c>
      <c r="C48" s="642">
        <v>5.5900000000000004E-3</v>
      </c>
      <c r="D48" s="613" t="s">
        <v>372</v>
      </c>
      <c r="E48" s="612" t="s">
        <v>390</v>
      </c>
      <c r="F48" s="641">
        <v>221138</v>
      </c>
    </row>
    <row r="49" spans="1:6" ht="17.100000000000001" customHeight="1" x14ac:dyDescent="0.2">
      <c r="A49" s="515" t="s">
        <v>378</v>
      </c>
      <c r="B49" s="643">
        <v>47900</v>
      </c>
      <c r="C49" s="613">
        <v>2.9100000000000001E-2</v>
      </c>
      <c r="D49" s="613" t="s">
        <v>372</v>
      </c>
      <c r="E49" s="612" t="s">
        <v>425</v>
      </c>
      <c r="F49" s="641">
        <v>48737</v>
      </c>
    </row>
    <row r="50" spans="1:6" ht="17.100000000000001" customHeight="1" x14ac:dyDescent="0.2">
      <c r="A50" s="515" t="s">
        <v>378</v>
      </c>
      <c r="B50" s="643">
        <v>100000</v>
      </c>
      <c r="C50" s="613">
        <v>2.9100000000000001E-2</v>
      </c>
      <c r="D50" s="613" t="s">
        <v>372</v>
      </c>
      <c r="E50" s="612" t="s">
        <v>425</v>
      </c>
      <c r="F50" s="641">
        <v>101698</v>
      </c>
    </row>
    <row r="51" spans="1:6" ht="17.100000000000001" customHeight="1" x14ac:dyDescent="0.2">
      <c r="A51" s="515" t="s">
        <v>373</v>
      </c>
      <c r="B51" s="643">
        <f>50000*4.424</f>
        <v>221200.00000000003</v>
      </c>
      <c r="C51" s="642">
        <v>3.7299999999999998E-3</v>
      </c>
      <c r="D51" s="613" t="s">
        <v>372</v>
      </c>
      <c r="E51" s="612" t="s">
        <v>389</v>
      </c>
      <c r="F51" s="641">
        <v>220904</v>
      </c>
    </row>
    <row r="52" spans="1:6" ht="17.100000000000001" customHeight="1" x14ac:dyDescent="0.2">
      <c r="A52" s="515" t="s">
        <v>373</v>
      </c>
      <c r="B52" s="643">
        <f>30000*4.424</f>
        <v>132720</v>
      </c>
      <c r="C52" s="613">
        <v>2.75E-2</v>
      </c>
      <c r="D52" s="613" t="s">
        <v>372</v>
      </c>
      <c r="E52" s="612" t="s">
        <v>388</v>
      </c>
      <c r="F52" s="641">
        <v>132936</v>
      </c>
    </row>
    <row r="53" spans="1:6" ht="17.100000000000001" customHeight="1" x14ac:dyDescent="0.2">
      <c r="A53" s="515" t="s">
        <v>378</v>
      </c>
      <c r="B53" s="643">
        <v>415200</v>
      </c>
      <c r="C53" s="613">
        <v>2.8299999999999999E-2</v>
      </c>
      <c r="D53" s="613" t="s">
        <v>372</v>
      </c>
      <c r="E53" s="612" t="s">
        <v>387</v>
      </c>
      <c r="F53" s="641">
        <v>415014</v>
      </c>
    </row>
    <row r="54" spans="1:6" ht="17.100000000000001" customHeight="1" x14ac:dyDescent="0.2">
      <c r="A54" s="515" t="s">
        <v>385</v>
      </c>
      <c r="B54" s="643">
        <v>2212000</v>
      </c>
      <c r="C54" s="642">
        <v>1.3979999999999999E-2</v>
      </c>
      <c r="D54" s="613" t="s">
        <v>384</v>
      </c>
      <c r="E54" s="612" t="s">
        <v>424</v>
      </c>
      <c r="F54" s="641">
        <v>2215056</v>
      </c>
    </row>
    <row r="55" spans="1:6" ht="17.100000000000001" customHeight="1" x14ac:dyDescent="0.2">
      <c r="A55" s="515" t="s">
        <v>378</v>
      </c>
      <c r="B55" s="643">
        <v>300000</v>
      </c>
      <c r="C55" s="613">
        <v>2.93E-2</v>
      </c>
      <c r="D55" s="613" t="s">
        <v>372</v>
      </c>
      <c r="E55" s="612" t="s">
        <v>423</v>
      </c>
      <c r="F55" s="641">
        <v>300040</v>
      </c>
    </row>
    <row r="56" spans="1:6" ht="17.100000000000001" customHeight="1" x14ac:dyDescent="0.2">
      <c r="A56" s="515" t="s">
        <v>373</v>
      </c>
      <c r="B56" s="643">
        <f>50000*4.424</f>
        <v>221200.00000000003</v>
      </c>
      <c r="C56" s="642">
        <v>5.5599999999999998E-3</v>
      </c>
      <c r="D56" s="613" t="s">
        <v>372</v>
      </c>
      <c r="E56" s="612" t="s">
        <v>422</v>
      </c>
      <c r="F56" s="641">
        <v>220776</v>
      </c>
    </row>
    <row r="57" spans="1:6" ht="17.100000000000001" customHeight="1" x14ac:dyDescent="0.2">
      <c r="A57" s="515" t="s">
        <v>378</v>
      </c>
      <c r="B57" s="643">
        <v>255000</v>
      </c>
      <c r="C57" s="613">
        <v>2.8799999999999999E-2</v>
      </c>
      <c r="D57" s="613" t="s">
        <v>372</v>
      </c>
      <c r="E57" s="612" t="s">
        <v>421</v>
      </c>
      <c r="F57" s="641">
        <v>254664</v>
      </c>
    </row>
    <row r="58" spans="1:6" ht="17.100000000000001" customHeight="1" x14ac:dyDescent="0.2">
      <c r="A58" s="515" t="s">
        <v>385</v>
      </c>
      <c r="B58" s="643">
        <v>2212000</v>
      </c>
      <c r="C58" s="613">
        <v>0.02</v>
      </c>
      <c r="D58" s="613" t="s">
        <v>384</v>
      </c>
      <c r="E58" s="612" t="s">
        <v>383</v>
      </c>
      <c r="F58" s="641">
        <v>2202780</v>
      </c>
    </row>
    <row r="59" spans="1:6" ht="17.100000000000001" customHeight="1" x14ac:dyDescent="0.2">
      <c r="A59" s="515" t="s">
        <v>373</v>
      </c>
      <c r="B59" s="643">
        <f>20000*4.424</f>
        <v>88480.000000000015</v>
      </c>
      <c r="C59" s="642">
        <v>1.1350000000000001E-2</v>
      </c>
      <c r="D59" s="613" t="s">
        <v>372</v>
      </c>
      <c r="E59" s="612" t="s">
        <v>382</v>
      </c>
      <c r="F59" s="641">
        <v>88701</v>
      </c>
    </row>
    <row r="60" spans="1:6" ht="17.100000000000001" customHeight="1" x14ac:dyDescent="0.2">
      <c r="A60" s="515" t="s">
        <v>378</v>
      </c>
      <c r="B60" s="643">
        <v>200000</v>
      </c>
      <c r="C60" s="613">
        <v>2.58E-2</v>
      </c>
      <c r="D60" s="613" t="s">
        <v>372</v>
      </c>
      <c r="E60" s="612" t="s">
        <v>381</v>
      </c>
      <c r="F60" s="641">
        <v>200391</v>
      </c>
    </row>
    <row r="61" spans="1:6" ht="17.100000000000001" customHeight="1" x14ac:dyDescent="0.2">
      <c r="A61" s="515" t="s">
        <v>378</v>
      </c>
      <c r="B61" s="643">
        <v>283200</v>
      </c>
      <c r="C61" s="613">
        <v>2.7199999999999998E-2</v>
      </c>
      <c r="D61" s="613" t="s">
        <v>372</v>
      </c>
      <c r="E61" s="612" t="s">
        <v>380</v>
      </c>
      <c r="F61" s="641">
        <v>285582</v>
      </c>
    </row>
    <row r="62" spans="1:6" ht="17.100000000000001" customHeight="1" x14ac:dyDescent="0.2">
      <c r="A62" s="515" t="s">
        <v>378</v>
      </c>
      <c r="B62" s="643">
        <v>200000</v>
      </c>
      <c r="C62" s="613">
        <v>2.7199999999999998E-2</v>
      </c>
      <c r="D62" s="613" t="s">
        <v>372</v>
      </c>
      <c r="E62" s="612" t="s">
        <v>379</v>
      </c>
      <c r="F62" s="641">
        <v>201224</v>
      </c>
    </row>
    <row r="63" spans="1:6" ht="17.100000000000001" customHeight="1" x14ac:dyDescent="0.2">
      <c r="A63" s="515" t="s">
        <v>378</v>
      </c>
      <c r="B63" s="643">
        <v>250000</v>
      </c>
      <c r="C63" s="613">
        <v>2.6700000000000002E-2</v>
      </c>
      <c r="D63" s="613" t="s">
        <v>372</v>
      </c>
      <c r="E63" s="612" t="s">
        <v>377</v>
      </c>
      <c r="F63" s="641">
        <v>250506</v>
      </c>
    </row>
    <row r="64" spans="1:6" ht="17.100000000000001" customHeight="1" x14ac:dyDescent="0.2">
      <c r="A64" s="515" t="s">
        <v>373</v>
      </c>
      <c r="B64" s="643">
        <f>11000*4.424</f>
        <v>48664.000000000007</v>
      </c>
      <c r="C64" s="642">
        <v>1.285E-2</v>
      </c>
      <c r="D64" s="613" t="s">
        <v>372</v>
      </c>
      <c r="E64" s="612" t="s">
        <v>376</v>
      </c>
      <c r="F64" s="641">
        <v>48781</v>
      </c>
    </row>
    <row r="65" spans="1:6" ht="17.100000000000001" customHeight="1" x14ac:dyDescent="0.2">
      <c r="A65" s="515" t="s">
        <v>373</v>
      </c>
      <c r="B65" s="643">
        <f>13000*4.424</f>
        <v>57512.000000000007</v>
      </c>
      <c r="C65" s="613">
        <v>1.18E-2</v>
      </c>
      <c r="D65" s="613" t="s">
        <v>372</v>
      </c>
      <c r="E65" s="612" t="s">
        <v>420</v>
      </c>
      <c r="F65" s="641">
        <v>57450</v>
      </c>
    </row>
    <row r="66" spans="1:6" ht="17.100000000000001" customHeight="1" x14ac:dyDescent="0.2">
      <c r="A66" s="515" t="s">
        <v>373</v>
      </c>
      <c r="B66" s="643">
        <f>35000*4.424</f>
        <v>154840</v>
      </c>
      <c r="C66" s="642">
        <v>1.183E-2</v>
      </c>
      <c r="D66" s="613" t="s">
        <v>372</v>
      </c>
      <c r="E66" s="612" t="s">
        <v>420</v>
      </c>
      <c r="F66" s="641">
        <v>154819</v>
      </c>
    </row>
    <row r="67" spans="1:6" ht="17.100000000000001" customHeight="1" x14ac:dyDescent="0.2">
      <c r="A67" s="515" t="s">
        <v>373</v>
      </c>
      <c r="B67" s="643">
        <f>8000*4.424</f>
        <v>35392</v>
      </c>
      <c r="C67" s="613">
        <v>3.5000000000000003E-2</v>
      </c>
      <c r="D67" s="613" t="s">
        <v>372</v>
      </c>
      <c r="E67" s="612" t="s">
        <v>375</v>
      </c>
      <c r="F67" s="641">
        <v>35816</v>
      </c>
    </row>
    <row r="68" spans="1:6" ht="17.100000000000001" customHeight="1" x14ac:dyDescent="0.2">
      <c r="A68" s="515" t="s">
        <v>373</v>
      </c>
      <c r="B68" s="643">
        <f>15000*4.424</f>
        <v>66360</v>
      </c>
      <c r="C68" s="613">
        <v>3.5000000000000003E-2</v>
      </c>
      <c r="D68" s="613" t="s">
        <v>372</v>
      </c>
      <c r="E68" s="612" t="s">
        <v>374</v>
      </c>
      <c r="F68" s="641">
        <v>67198</v>
      </c>
    </row>
    <row r="69" spans="1:6" ht="17.100000000000001" customHeight="1" thickBot="1" x14ac:dyDescent="0.25">
      <c r="A69" s="515" t="s">
        <v>373</v>
      </c>
      <c r="B69" s="643">
        <f>20000*4.424</f>
        <v>88480.000000000015</v>
      </c>
      <c r="C69" s="613">
        <v>3.2000000000000001E-2</v>
      </c>
      <c r="D69" s="613" t="s">
        <v>372</v>
      </c>
      <c r="E69" s="612" t="s">
        <v>371</v>
      </c>
      <c r="F69" s="641">
        <v>88700</v>
      </c>
    </row>
    <row r="70" spans="1:6" ht="17.100000000000001" hidden="1" customHeight="1" x14ac:dyDescent="0.2">
      <c r="A70" s="514"/>
      <c r="B70" s="643"/>
      <c r="C70" s="642"/>
      <c r="D70" s="613"/>
      <c r="E70" s="612"/>
      <c r="F70" s="641"/>
    </row>
    <row r="71" spans="1:6" ht="17.100000000000001" hidden="1" customHeight="1" x14ac:dyDescent="0.2">
      <c r="A71" s="514"/>
      <c r="B71" s="643"/>
      <c r="C71" s="642"/>
      <c r="D71" s="613"/>
      <c r="E71" s="612"/>
      <c r="F71" s="641"/>
    </row>
    <row r="72" spans="1:6" ht="17.100000000000001" hidden="1" customHeight="1" x14ac:dyDescent="0.2">
      <c r="A72" s="514"/>
      <c r="B72" s="643"/>
      <c r="C72" s="642"/>
      <c r="D72" s="613"/>
      <c r="E72" s="612"/>
      <c r="F72" s="641"/>
    </row>
    <row r="73" spans="1:6" ht="17.100000000000001" hidden="1" customHeight="1" x14ac:dyDescent="0.2">
      <c r="A73" s="514"/>
      <c r="B73" s="643"/>
      <c r="C73" s="642"/>
      <c r="D73" s="613"/>
      <c r="E73" s="612"/>
      <c r="F73" s="641"/>
    </row>
    <row r="74" spans="1:6" ht="17.100000000000001" hidden="1" customHeight="1" thickBot="1" x14ac:dyDescent="0.25">
      <c r="A74" s="511"/>
      <c r="B74" s="640"/>
      <c r="C74" s="639"/>
      <c r="D74" s="638"/>
      <c r="E74" s="637"/>
      <c r="F74" s="636"/>
    </row>
    <row r="75" spans="1:6" ht="17.100000000000001" customHeight="1" thickBot="1" x14ac:dyDescent="0.25">
      <c r="A75" s="999" t="s">
        <v>370</v>
      </c>
      <c r="B75" s="1000"/>
      <c r="C75" s="1000"/>
      <c r="D75" s="1000"/>
      <c r="E75" s="1000"/>
      <c r="F75" s="604">
        <f>F6+F37</f>
        <v>12660389</v>
      </c>
    </row>
    <row r="76" spans="1:6" ht="12.95" customHeight="1" x14ac:dyDescent="0.2"/>
    <row r="77" spans="1:6" ht="17.100000000000001" customHeight="1" x14ac:dyDescent="0.2">
      <c r="A77" s="483"/>
      <c r="D77" s="600"/>
      <c r="F77" s="635"/>
    </row>
    <row r="78" spans="1:6" ht="20.25" customHeight="1" x14ac:dyDescent="0.2">
      <c r="A78" s="483"/>
      <c r="D78" s="600"/>
      <c r="F78" s="635"/>
    </row>
    <row r="79" spans="1:6" x14ac:dyDescent="0.2">
      <c r="F79" s="602"/>
    </row>
    <row r="81" spans="1:8" ht="17.100000000000001" customHeight="1" x14ac:dyDescent="0.2">
      <c r="A81" s="634" t="s">
        <v>419</v>
      </c>
    </row>
    <row r="82" spans="1:8" ht="31.5" x14ac:dyDescent="0.2">
      <c r="A82" s="628" t="s">
        <v>413</v>
      </c>
      <c r="B82" s="627" t="s">
        <v>412</v>
      </c>
      <c r="C82" s="627" t="s">
        <v>411</v>
      </c>
      <c r="D82" s="627" t="s">
        <v>410</v>
      </c>
      <c r="E82" s="626" t="s">
        <v>409</v>
      </c>
      <c r="F82" s="625" t="s">
        <v>408</v>
      </c>
    </row>
    <row r="83" spans="1:8" ht="17.100000000000001" customHeight="1" thickBot="1" x14ac:dyDescent="0.25">
      <c r="A83" s="624" t="s">
        <v>418</v>
      </c>
      <c r="B83" s="623">
        <f>SUM(B84:B94)</f>
        <v>326250</v>
      </c>
      <c r="C83" s="622"/>
      <c r="D83" s="622"/>
      <c r="E83" s="622"/>
      <c r="F83" s="621">
        <f>SUM(F84:F94)</f>
        <v>327231</v>
      </c>
    </row>
    <row r="84" spans="1:8" ht="17.100000000000001" customHeight="1" x14ac:dyDescent="0.2">
      <c r="A84" s="620" t="s">
        <v>378</v>
      </c>
      <c r="B84" s="619">
        <v>145750</v>
      </c>
      <c r="C84" s="618">
        <v>2.9499999999999998E-2</v>
      </c>
      <c r="D84" s="617" t="s">
        <v>372</v>
      </c>
      <c r="E84" s="616" t="s">
        <v>417</v>
      </c>
      <c r="F84" s="615">
        <v>146359</v>
      </c>
    </row>
    <row r="85" spans="1:8" ht="17.100000000000001" customHeight="1" x14ac:dyDescent="0.2">
      <c r="A85" s="515" t="s">
        <v>378</v>
      </c>
      <c r="B85" s="614">
        <v>149500</v>
      </c>
      <c r="C85" s="613">
        <v>3.5900000000000001E-2</v>
      </c>
      <c r="D85" s="613" t="s">
        <v>416</v>
      </c>
      <c r="E85" s="612" t="s">
        <v>415</v>
      </c>
      <c r="F85" s="611">
        <v>150809</v>
      </c>
    </row>
    <row r="86" spans="1:8" ht="17.100000000000001" customHeight="1" thickBot="1" x14ac:dyDescent="0.25">
      <c r="A86" s="578" t="s">
        <v>378</v>
      </c>
      <c r="B86" s="633">
        <v>31000</v>
      </c>
      <c r="C86" s="632">
        <v>3.5000000000000003E-2</v>
      </c>
      <c r="D86" s="632" t="s">
        <v>372</v>
      </c>
      <c r="E86" s="631" t="s">
        <v>414</v>
      </c>
      <c r="F86" s="630">
        <v>30063</v>
      </c>
    </row>
    <row r="87" spans="1:8" ht="17.100000000000001" hidden="1" customHeight="1" x14ac:dyDescent="0.2">
      <c r="A87" s="620"/>
      <c r="B87" s="619"/>
      <c r="C87" s="618"/>
      <c r="D87" s="618"/>
      <c r="E87" s="616"/>
      <c r="F87" s="615"/>
    </row>
    <row r="88" spans="1:8" ht="17.100000000000001" hidden="1" customHeight="1" x14ac:dyDescent="0.2">
      <c r="A88" s="515"/>
      <c r="B88" s="614"/>
      <c r="C88" s="613"/>
      <c r="D88" s="613"/>
      <c r="E88" s="612"/>
      <c r="F88" s="611"/>
    </row>
    <row r="89" spans="1:8" ht="17.100000000000001" hidden="1" customHeight="1" x14ac:dyDescent="0.2">
      <c r="A89" s="515"/>
      <c r="B89" s="614"/>
      <c r="C89" s="613"/>
      <c r="D89" s="613"/>
      <c r="E89" s="612"/>
      <c r="F89" s="611"/>
    </row>
    <row r="90" spans="1:8" ht="17.100000000000001" hidden="1" customHeight="1" x14ac:dyDescent="0.2">
      <c r="A90" s="515"/>
      <c r="B90" s="614"/>
      <c r="C90" s="613"/>
      <c r="D90" s="613"/>
      <c r="E90" s="612"/>
      <c r="F90" s="611"/>
    </row>
    <row r="91" spans="1:8" ht="17.100000000000001" hidden="1" customHeight="1" x14ac:dyDescent="0.2">
      <c r="A91" s="515"/>
      <c r="B91" s="614"/>
      <c r="C91" s="613"/>
      <c r="D91" s="613"/>
      <c r="E91" s="612"/>
      <c r="F91" s="611"/>
    </row>
    <row r="92" spans="1:8" ht="17.100000000000001" hidden="1" customHeight="1" x14ac:dyDescent="0.2">
      <c r="A92" s="515"/>
      <c r="B92" s="614"/>
      <c r="C92" s="613"/>
      <c r="D92" s="613"/>
      <c r="E92" s="612"/>
      <c r="F92" s="611"/>
    </row>
    <row r="93" spans="1:8" ht="24.95" hidden="1" customHeight="1" x14ac:dyDescent="0.2">
      <c r="A93" s="629"/>
      <c r="B93" s="609"/>
      <c r="C93" s="608"/>
      <c r="D93" s="607"/>
      <c r="E93" s="606"/>
      <c r="F93" s="605"/>
    </row>
    <row r="94" spans="1:8" ht="31.5" hidden="1" x14ac:dyDescent="0.2">
      <c r="A94" s="628" t="s">
        <v>413</v>
      </c>
      <c r="B94" s="627" t="s">
        <v>412</v>
      </c>
      <c r="C94" s="627" t="s">
        <v>411</v>
      </c>
      <c r="D94" s="627" t="s">
        <v>410</v>
      </c>
      <c r="E94" s="626" t="s">
        <v>409</v>
      </c>
      <c r="F94" s="625" t="s">
        <v>408</v>
      </c>
    </row>
    <row r="95" spans="1:8" ht="17.100000000000001" customHeight="1" thickBot="1" x14ac:dyDescent="0.25">
      <c r="A95" s="624" t="s">
        <v>407</v>
      </c>
      <c r="B95" s="623">
        <f>SUM(B96:B133)</f>
        <v>8590656</v>
      </c>
      <c r="C95" s="622"/>
      <c r="D95" s="622"/>
      <c r="E95" s="622"/>
      <c r="F95" s="621">
        <f>SUM(F96:F133)</f>
        <v>8618964</v>
      </c>
      <c r="H95" s="603"/>
    </row>
    <row r="96" spans="1:8" ht="17.100000000000001" customHeight="1" x14ac:dyDescent="0.2">
      <c r="A96" s="620" t="s">
        <v>378</v>
      </c>
      <c r="B96" s="619">
        <v>200000</v>
      </c>
      <c r="C96" s="618">
        <v>3.1E-2</v>
      </c>
      <c r="D96" s="617" t="s">
        <v>372</v>
      </c>
      <c r="E96" s="616" t="s">
        <v>406</v>
      </c>
      <c r="F96" s="615">
        <v>201054</v>
      </c>
    </row>
    <row r="97" spans="1:6" ht="17.100000000000001" customHeight="1" x14ac:dyDescent="0.2">
      <c r="A97" s="515" t="s">
        <v>378</v>
      </c>
      <c r="B97" s="614">
        <v>153250</v>
      </c>
      <c r="C97" s="613">
        <v>2.75E-2</v>
      </c>
      <c r="D97" s="613" t="s">
        <v>372</v>
      </c>
      <c r="E97" s="612" t="s">
        <v>405</v>
      </c>
      <c r="F97" s="611">
        <v>152918</v>
      </c>
    </row>
    <row r="98" spans="1:6" ht="17.100000000000001" customHeight="1" x14ac:dyDescent="0.2">
      <c r="A98" s="515" t="s">
        <v>373</v>
      </c>
      <c r="B98" s="614">
        <v>42516</v>
      </c>
      <c r="C98" s="613">
        <v>1.9300000000000001E-2</v>
      </c>
      <c r="D98" s="613" t="s">
        <v>372</v>
      </c>
      <c r="E98" s="612" t="s">
        <v>404</v>
      </c>
      <c r="F98" s="611">
        <v>42747</v>
      </c>
    </row>
    <row r="99" spans="1:6" ht="17.100000000000001" customHeight="1" x14ac:dyDescent="0.2">
      <c r="A99" s="515" t="s">
        <v>373</v>
      </c>
      <c r="B99" s="614">
        <v>31887</v>
      </c>
      <c r="C99" s="613">
        <v>8.5000000000000006E-3</v>
      </c>
      <c r="D99" s="613" t="s">
        <v>372</v>
      </c>
      <c r="E99" s="612" t="s">
        <v>403</v>
      </c>
      <c r="F99" s="611">
        <v>31958</v>
      </c>
    </row>
    <row r="100" spans="1:6" ht="17.100000000000001" customHeight="1" x14ac:dyDescent="0.2">
      <c r="A100" s="515" t="s">
        <v>378</v>
      </c>
      <c r="B100" s="614">
        <v>108900</v>
      </c>
      <c r="C100" s="613">
        <v>3.4599999999999999E-2</v>
      </c>
      <c r="D100" s="613" t="s">
        <v>372</v>
      </c>
      <c r="E100" s="612" t="s">
        <v>402</v>
      </c>
      <c r="F100" s="611">
        <v>107881</v>
      </c>
    </row>
    <row r="101" spans="1:6" ht="17.100000000000001" customHeight="1" x14ac:dyDescent="0.2">
      <c r="A101" s="515" t="s">
        <v>401</v>
      </c>
      <c r="B101" s="614">
        <v>786617</v>
      </c>
      <c r="C101" s="613">
        <v>2.5000000000000001E-2</v>
      </c>
      <c r="D101" s="613" t="s">
        <v>384</v>
      </c>
      <c r="E101" s="612" t="s">
        <v>400</v>
      </c>
      <c r="F101" s="611">
        <v>788687</v>
      </c>
    </row>
    <row r="102" spans="1:6" ht="17.100000000000001" customHeight="1" x14ac:dyDescent="0.2">
      <c r="A102" s="515" t="s">
        <v>373</v>
      </c>
      <c r="B102" s="614">
        <v>212580</v>
      </c>
      <c r="C102" s="613">
        <v>1.0800000000000001E-2</v>
      </c>
      <c r="D102" s="613" t="s">
        <v>372</v>
      </c>
      <c r="E102" s="612" t="s">
        <v>399</v>
      </c>
      <c r="F102" s="611">
        <v>213187</v>
      </c>
    </row>
    <row r="103" spans="1:6" ht="17.100000000000001" customHeight="1" x14ac:dyDescent="0.2">
      <c r="A103" s="515" t="s">
        <v>373</v>
      </c>
      <c r="B103" s="614">
        <v>85032</v>
      </c>
      <c r="C103" s="613">
        <v>1.12E-2</v>
      </c>
      <c r="D103" s="613" t="s">
        <v>372</v>
      </c>
      <c r="E103" s="612" t="s">
        <v>399</v>
      </c>
      <c r="F103" s="611">
        <v>85094</v>
      </c>
    </row>
    <row r="104" spans="1:6" ht="17.100000000000001" customHeight="1" x14ac:dyDescent="0.2">
      <c r="A104" s="515" t="s">
        <v>398</v>
      </c>
      <c r="B104" s="614">
        <v>78849</v>
      </c>
      <c r="C104" s="613">
        <v>2.3199999999999998E-2</v>
      </c>
      <c r="D104" s="613" t="s">
        <v>384</v>
      </c>
      <c r="E104" s="612" t="s">
        <v>397</v>
      </c>
      <c r="F104" s="611">
        <v>78977</v>
      </c>
    </row>
    <row r="105" spans="1:6" ht="17.100000000000001" customHeight="1" x14ac:dyDescent="0.2">
      <c r="A105" s="515" t="s">
        <v>395</v>
      </c>
      <c r="B105" s="614">
        <v>12000</v>
      </c>
      <c r="C105" s="613">
        <v>3.2399999999999998E-2</v>
      </c>
      <c r="D105" s="613" t="s">
        <v>394</v>
      </c>
      <c r="E105" s="612" t="s">
        <v>396</v>
      </c>
      <c r="F105" s="611">
        <v>11813</v>
      </c>
    </row>
    <row r="106" spans="1:6" ht="17.100000000000001" customHeight="1" x14ac:dyDescent="0.2">
      <c r="A106" s="515" t="s">
        <v>395</v>
      </c>
      <c r="B106" s="614">
        <v>50000</v>
      </c>
      <c r="C106" s="613">
        <v>3.1800000000000002E-2</v>
      </c>
      <c r="D106" s="613" t="s">
        <v>394</v>
      </c>
      <c r="E106" s="612" t="s">
        <v>393</v>
      </c>
      <c r="F106" s="611">
        <v>49803</v>
      </c>
    </row>
    <row r="107" spans="1:6" ht="17.100000000000001" customHeight="1" x14ac:dyDescent="0.2">
      <c r="A107" s="515" t="s">
        <v>385</v>
      </c>
      <c r="B107" s="614">
        <v>2130750</v>
      </c>
      <c r="C107" s="613">
        <v>2.375E-2</v>
      </c>
      <c r="D107" s="613" t="s">
        <v>384</v>
      </c>
      <c r="E107" s="612" t="s">
        <v>392</v>
      </c>
      <c r="F107" s="611">
        <v>2158072</v>
      </c>
    </row>
    <row r="108" spans="1:6" ht="17.100000000000001" customHeight="1" x14ac:dyDescent="0.2">
      <c r="A108" s="515" t="s">
        <v>378</v>
      </c>
      <c r="B108" s="614">
        <v>80000</v>
      </c>
      <c r="C108" s="613">
        <v>2.7699999999999999E-2</v>
      </c>
      <c r="D108" s="613" t="s">
        <v>372</v>
      </c>
      <c r="E108" s="612" t="s">
        <v>391</v>
      </c>
      <c r="F108" s="611">
        <v>79985</v>
      </c>
    </row>
    <row r="109" spans="1:6" ht="17.100000000000001" customHeight="1" x14ac:dyDescent="0.2">
      <c r="A109" s="515" t="s">
        <v>373</v>
      </c>
      <c r="B109" s="614">
        <v>212580</v>
      </c>
      <c r="C109" s="613">
        <v>8.2000000000000007E-3</v>
      </c>
      <c r="D109" s="613" t="s">
        <v>372</v>
      </c>
      <c r="E109" s="612" t="s">
        <v>390</v>
      </c>
      <c r="F109" s="611">
        <v>212991</v>
      </c>
    </row>
    <row r="110" spans="1:6" ht="17.100000000000001" customHeight="1" x14ac:dyDescent="0.2">
      <c r="A110" s="515" t="s">
        <v>373</v>
      </c>
      <c r="B110" s="614">
        <v>212580</v>
      </c>
      <c r="C110" s="613">
        <v>5.5999999999999999E-3</v>
      </c>
      <c r="D110" s="613" t="s">
        <v>372</v>
      </c>
      <c r="E110" s="612" t="s">
        <v>389</v>
      </c>
      <c r="F110" s="611">
        <v>213084</v>
      </c>
    </row>
    <row r="111" spans="1:6" ht="17.100000000000001" customHeight="1" x14ac:dyDescent="0.2">
      <c r="A111" s="515" t="s">
        <v>373</v>
      </c>
      <c r="B111" s="614">
        <v>127548</v>
      </c>
      <c r="C111" s="613">
        <v>2.75E-2</v>
      </c>
      <c r="D111" s="613" t="s">
        <v>372</v>
      </c>
      <c r="E111" s="612" t="s">
        <v>388</v>
      </c>
      <c r="F111" s="611">
        <v>127653</v>
      </c>
    </row>
    <row r="112" spans="1:6" ht="17.100000000000001" customHeight="1" x14ac:dyDescent="0.2">
      <c r="A112" s="515" t="s">
        <v>378</v>
      </c>
      <c r="B112" s="614">
        <v>415000</v>
      </c>
      <c r="C112" s="613">
        <v>2.8199999999999999E-2</v>
      </c>
      <c r="D112" s="613" t="s">
        <v>372</v>
      </c>
      <c r="E112" s="612" t="s">
        <v>387</v>
      </c>
      <c r="F112" s="611">
        <v>415782</v>
      </c>
    </row>
    <row r="113" spans="1:6" ht="17.100000000000001" customHeight="1" x14ac:dyDescent="0.2">
      <c r="A113" s="515" t="s">
        <v>378</v>
      </c>
      <c r="B113" s="614">
        <v>255000</v>
      </c>
      <c r="C113" s="613">
        <v>2.87E-2</v>
      </c>
      <c r="D113" s="613" t="s">
        <v>372</v>
      </c>
      <c r="E113" s="612" t="s">
        <v>386</v>
      </c>
      <c r="F113" s="611">
        <v>255215</v>
      </c>
    </row>
    <row r="114" spans="1:6" ht="17.100000000000001" customHeight="1" x14ac:dyDescent="0.2">
      <c r="A114" s="515" t="s">
        <v>385</v>
      </c>
      <c r="B114" s="614">
        <v>2130750</v>
      </c>
      <c r="C114" s="613">
        <v>0.02</v>
      </c>
      <c r="D114" s="613" t="s">
        <v>384</v>
      </c>
      <c r="E114" s="612" t="s">
        <v>383</v>
      </c>
      <c r="F114" s="611">
        <v>2119199</v>
      </c>
    </row>
    <row r="115" spans="1:6" ht="17.100000000000001" customHeight="1" x14ac:dyDescent="0.2">
      <c r="A115" s="515" t="s">
        <v>373</v>
      </c>
      <c r="B115" s="614">
        <v>85230</v>
      </c>
      <c r="C115" s="613">
        <v>1.14E-2</v>
      </c>
      <c r="D115" s="613" t="s">
        <v>372</v>
      </c>
      <c r="E115" s="612" t="s">
        <v>382</v>
      </c>
      <c r="F115" s="611">
        <v>85543</v>
      </c>
    </row>
    <row r="116" spans="1:6" ht="17.100000000000001" customHeight="1" x14ac:dyDescent="0.2">
      <c r="A116" s="515" t="s">
        <v>378</v>
      </c>
      <c r="B116" s="614">
        <v>200000</v>
      </c>
      <c r="C116" s="613">
        <v>2.5899999999999999E-2</v>
      </c>
      <c r="D116" s="613" t="s">
        <v>372</v>
      </c>
      <c r="E116" s="612" t="s">
        <v>381</v>
      </c>
      <c r="F116" s="611">
        <v>200919</v>
      </c>
    </row>
    <row r="117" spans="1:6" ht="17.100000000000001" customHeight="1" x14ac:dyDescent="0.2">
      <c r="A117" s="515" t="s">
        <v>378</v>
      </c>
      <c r="B117" s="614">
        <v>300000</v>
      </c>
      <c r="C117" s="613">
        <v>2.7199999999999998E-2</v>
      </c>
      <c r="D117" s="613" t="s">
        <v>372</v>
      </c>
      <c r="E117" s="612" t="s">
        <v>380</v>
      </c>
      <c r="F117" s="611">
        <v>302336</v>
      </c>
    </row>
    <row r="118" spans="1:6" ht="17.100000000000001" customHeight="1" x14ac:dyDescent="0.2">
      <c r="A118" s="515" t="s">
        <v>378</v>
      </c>
      <c r="B118" s="614">
        <v>200000</v>
      </c>
      <c r="C118" s="613">
        <v>2.7300000000000001E-2</v>
      </c>
      <c r="D118" s="613" t="s">
        <v>372</v>
      </c>
      <c r="E118" s="612" t="s">
        <v>379</v>
      </c>
      <c r="F118" s="611">
        <v>201153</v>
      </c>
    </row>
    <row r="119" spans="1:6" ht="17.100000000000001" customHeight="1" x14ac:dyDescent="0.2">
      <c r="A119" s="515" t="s">
        <v>378</v>
      </c>
      <c r="B119" s="614">
        <v>250000</v>
      </c>
      <c r="C119" s="613">
        <v>2.6800000000000001E-2</v>
      </c>
      <c r="D119" s="613" t="s">
        <v>372</v>
      </c>
      <c r="E119" s="612" t="s">
        <v>377</v>
      </c>
      <c r="F119" s="611">
        <v>251421</v>
      </c>
    </row>
    <row r="120" spans="1:6" ht="17.100000000000001" customHeight="1" x14ac:dyDescent="0.2">
      <c r="A120" s="515" t="s">
        <v>373</v>
      </c>
      <c r="B120" s="614">
        <v>46768</v>
      </c>
      <c r="C120" s="613">
        <v>1.29E-2</v>
      </c>
      <c r="D120" s="613" t="s">
        <v>372</v>
      </c>
      <c r="E120" s="612" t="s">
        <v>376</v>
      </c>
      <c r="F120" s="611">
        <v>47158</v>
      </c>
    </row>
    <row r="121" spans="1:6" ht="17.100000000000001" customHeight="1" x14ac:dyDescent="0.2">
      <c r="A121" s="515" t="s">
        <v>373</v>
      </c>
      <c r="B121" s="614">
        <v>34013</v>
      </c>
      <c r="C121" s="613">
        <v>3.5000000000000003E-2</v>
      </c>
      <c r="D121" s="613" t="s">
        <v>372</v>
      </c>
      <c r="E121" s="612" t="s">
        <v>375</v>
      </c>
      <c r="F121" s="611">
        <v>34432</v>
      </c>
    </row>
    <row r="122" spans="1:6" ht="17.100000000000001" customHeight="1" x14ac:dyDescent="0.2">
      <c r="A122" s="515" t="s">
        <v>373</v>
      </c>
      <c r="B122" s="614">
        <v>63774</v>
      </c>
      <c r="C122" s="613">
        <v>3.5000000000000003E-2</v>
      </c>
      <c r="D122" s="613" t="s">
        <v>372</v>
      </c>
      <c r="E122" s="612" t="s">
        <v>374</v>
      </c>
      <c r="F122" s="611">
        <v>64621</v>
      </c>
    </row>
    <row r="123" spans="1:6" ht="17.100000000000001" customHeight="1" thickBot="1" x14ac:dyDescent="0.25">
      <c r="A123" s="515" t="s">
        <v>373</v>
      </c>
      <c r="B123" s="614">
        <v>85032</v>
      </c>
      <c r="C123" s="613">
        <v>3.2000000000000001E-2</v>
      </c>
      <c r="D123" s="613" t="s">
        <v>372</v>
      </c>
      <c r="E123" s="612" t="s">
        <v>371</v>
      </c>
      <c r="F123" s="611">
        <v>85281</v>
      </c>
    </row>
    <row r="124" spans="1:6" ht="17.100000000000001" hidden="1" customHeight="1" x14ac:dyDescent="0.2">
      <c r="A124" s="515"/>
      <c r="B124" s="614"/>
      <c r="C124" s="613"/>
      <c r="D124" s="613"/>
      <c r="E124" s="612"/>
      <c r="F124" s="611"/>
    </row>
    <row r="125" spans="1:6" ht="17.100000000000001" hidden="1" customHeight="1" x14ac:dyDescent="0.2">
      <c r="A125" s="515"/>
      <c r="B125" s="614"/>
      <c r="C125" s="613"/>
      <c r="D125" s="613"/>
      <c r="E125" s="612"/>
      <c r="F125" s="611"/>
    </row>
    <row r="126" spans="1:6" ht="17.100000000000001" hidden="1" customHeight="1" x14ac:dyDescent="0.2">
      <c r="A126" s="515"/>
      <c r="B126" s="614"/>
      <c r="C126" s="613"/>
      <c r="D126" s="613"/>
      <c r="E126" s="612"/>
      <c r="F126" s="611"/>
    </row>
    <row r="127" spans="1:6" ht="17.100000000000001" hidden="1" customHeight="1" x14ac:dyDescent="0.2">
      <c r="A127" s="515"/>
      <c r="B127" s="614"/>
      <c r="C127" s="613"/>
      <c r="D127" s="613"/>
      <c r="E127" s="612"/>
      <c r="F127" s="611"/>
    </row>
    <row r="128" spans="1:6" ht="17.100000000000001" hidden="1" customHeight="1" x14ac:dyDescent="0.2">
      <c r="A128" s="515"/>
      <c r="B128" s="614"/>
      <c r="C128" s="613"/>
      <c r="D128" s="613"/>
      <c r="E128" s="612"/>
      <c r="F128" s="611"/>
    </row>
    <row r="129" spans="1:9" ht="17.100000000000001" hidden="1" customHeight="1" x14ac:dyDescent="0.2">
      <c r="A129" s="515"/>
      <c r="B129" s="614"/>
      <c r="C129" s="613"/>
      <c r="D129" s="613"/>
      <c r="E129" s="612"/>
      <c r="F129" s="611"/>
    </row>
    <row r="130" spans="1:9" ht="17.100000000000001" hidden="1" customHeight="1" x14ac:dyDescent="0.2">
      <c r="A130" s="515"/>
      <c r="B130" s="614"/>
      <c r="C130" s="613"/>
      <c r="D130" s="613"/>
      <c r="E130" s="612"/>
      <c r="F130" s="611"/>
    </row>
    <row r="131" spans="1:9" ht="17.100000000000001" hidden="1" customHeight="1" x14ac:dyDescent="0.2">
      <c r="A131" s="515"/>
      <c r="B131" s="614"/>
      <c r="C131" s="613"/>
      <c r="D131" s="613"/>
      <c r="E131" s="612"/>
      <c r="F131" s="611"/>
    </row>
    <row r="132" spans="1:9" ht="17.100000000000001" hidden="1" customHeight="1" x14ac:dyDescent="0.2">
      <c r="A132" s="515"/>
      <c r="B132" s="614"/>
      <c r="C132" s="613"/>
      <c r="D132" s="613"/>
      <c r="E132" s="612"/>
      <c r="F132" s="611"/>
    </row>
    <row r="133" spans="1:9" ht="17.100000000000001" hidden="1" customHeight="1" thickBot="1" x14ac:dyDescent="0.25">
      <c r="A133" s="610"/>
      <c r="B133" s="609"/>
      <c r="C133" s="608"/>
      <c r="D133" s="607"/>
      <c r="E133" s="606"/>
      <c r="F133" s="605"/>
    </row>
    <row r="134" spans="1:9" ht="17.100000000000001" customHeight="1" thickBot="1" x14ac:dyDescent="0.25">
      <c r="A134" s="999" t="s">
        <v>370</v>
      </c>
      <c r="B134" s="1000"/>
      <c r="C134" s="1000"/>
      <c r="D134" s="1000"/>
      <c r="E134" s="1000"/>
      <c r="F134" s="604">
        <f>F83+F95</f>
        <v>8946195</v>
      </c>
      <c r="I134" s="603"/>
    </row>
    <row r="135" spans="1:9" x14ac:dyDescent="0.2">
      <c r="F135" s="602"/>
    </row>
    <row r="136" spans="1:9" s="452" customFormat="1" x14ac:dyDescent="0.2">
      <c r="F136" s="601"/>
    </row>
    <row r="137" spans="1:9" s="452" customFormat="1" x14ac:dyDescent="0.2"/>
    <row r="138" spans="1:9" s="452" customFormat="1" x14ac:dyDescent="0.2"/>
    <row r="139" spans="1:9" s="452" customFormat="1" x14ac:dyDescent="0.2"/>
    <row r="140" spans="1:9" s="452" customFormat="1" x14ac:dyDescent="0.2"/>
    <row r="141" spans="1:9" s="452" customFormat="1" x14ac:dyDescent="0.2"/>
    <row r="142" spans="1:9" s="452" customFormat="1" x14ac:dyDescent="0.2"/>
    <row r="143" spans="1:9" s="452" customFormat="1" x14ac:dyDescent="0.2"/>
    <row r="144" spans="1:9" s="452" customFormat="1" x14ac:dyDescent="0.2"/>
    <row r="145" spans="1:6" s="452" customFormat="1" x14ac:dyDescent="0.2"/>
    <row r="146" spans="1:6" s="452" customFormat="1" x14ac:dyDescent="0.2"/>
    <row r="147" spans="1:6" s="452" customFormat="1" x14ac:dyDescent="0.2"/>
    <row r="148" spans="1:6" s="452" customFormat="1" x14ac:dyDescent="0.2"/>
    <row r="149" spans="1:6" s="452" customFormat="1" x14ac:dyDescent="0.2"/>
    <row r="150" spans="1:6" s="452" customFormat="1" x14ac:dyDescent="0.2"/>
    <row r="151" spans="1:6" s="452" customFormat="1" x14ac:dyDescent="0.2"/>
    <row r="152" spans="1:6" s="452" customFormat="1" x14ac:dyDescent="0.2"/>
    <row r="153" spans="1:6" s="452" customFormat="1" x14ac:dyDescent="0.2"/>
    <row r="154" spans="1:6" s="452" customFormat="1" x14ac:dyDescent="0.2"/>
    <row r="155" spans="1:6" s="452" customFormat="1" x14ac:dyDescent="0.2"/>
    <row r="156" spans="1:6" x14ac:dyDescent="0.2">
      <c r="A156" s="998"/>
      <c r="B156" s="998"/>
      <c r="E156" s="600"/>
    </row>
    <row r="157" spans="1:6" x14ac:dyDescent="0.2">
      <c r="E157" s="452"/>
      <c r="F157" s="452"/>
    </row>
    <row r="158" spans="1:6" x14ac:dyDescent="0.2">
      <c r="E158" s="600"/>
    </row>
    <row r="159" spans="1:6" x14ac:dyDescent="0.2">
      <c r="E159" s="452"/>
      <c r="F159" s="452"/>
    </row>
  </sheetData>
  <mergeCells count="4">
    <mergeCell ref="A2:E2"/>
    <mergeCell ref="A156:B156"/>
    <mergeCell ref="A75:E75"/>
    <mergeCell ref="A134:E134"/>
  </mergeCells>
  <pageMargins left="0.75" right="0.75" top="1" bottom="1" header="0.5" footer="0.5"/>
  <pageSetup paperSize="9" scale="51" fitToHeight="3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D12"/>
  <sheetViews>
    <sheetView workbookViewId="0">
      <selection activeCell="H12" sqref="H12"/>
    </sheetView>
  </sheetViews>
  <sheetFormatPr defaultRowHeight="10.5" x14ac:dyDescent="0.2"/>
  <cols>
    <col min="1" max="1" width="2.28515625" style="3" customWidth="1"/>
    <col min="2" max="2" width="59.7109375" style="23" customWidth="1"/>
    <col min="3" max="4" width="15.7109375" style="23" customWidth="1"/>
    <col min="5" max="5" width="10.28515625" style="22" bestFit="1" customWidth="1"/>
    <col min="6" max="16384" width="9.140625" style="22"/>
  </cols>
  <sheetData>
    <row r="2" spans="2:4" ht="17.100000000000001" customHeight="1" x14ac:dyDescent="0.2">
      <c r="B2" s="522"/>
      <c r="C2" s="521" t="s">
        <v>5</v>
      </c>
      <c r="D2" s="520" t="s">
        <v>4</v>
      </c>
    </row>
    <row r="3" spans="2:4" ht="17.100000000000001" customHeight="1" thickBot="1" x14ac:dyDescent="0.25">
      <c r="B3" s="659" t="s">
        <v>243</v>
      </c>
      <c r="C3" s="658">
        <f>D9</f>
        <v>8946195</v>
      </c>
      <c r="D3" s="657">
        <v>10341742</v>
      </c>
    </row>
    <row r="4" spans="2:4" ht="17.100000000000001" customHeight="1" x14ac:dyDescent="0.2">
      <c r="B4" s="656" t="s">
        <v>454</v>
      </c>
      <c r="C4" s="655">
        <v>7859557</v>
      </c>
      <c r="D4" s="654">
        <v>1545905</v>
      </c>
    </row>
    <row r="5" spans="2:4" ht="17.100000000000001" customHeight="1" x14ac:dyDescent="0.2">
      <c r="B5" s="222" t="s">
        <v>453</v>
      </c>
      <c r="C5" s="229">
        <v>-4226595</v>
      </c>
      <c r="D5" s="228">
        <v>-3056217</v>
      </c>
    </row>
    <row r="6" spans="2:4" ht="17.100000000000001" hidden="1" customHeight="1" x14ac:dyDescent="0.2">
      <c r="B6" s="222" t="s">
        <v>452</v>
      </c>
      <c r="C6" s="229">
        <v>0</v>
      </c>
      <c r="D6" s="228">
        <v>0</v>
      </c>
    </row>
    <row r="7" spans="2:4" ht="17.100000000000001" customHeight="1" x14ac:dyDescent="0.2">
      <c r="B7" s="222" t="s">
        <v>9</v>
      </c>
      <c r="C7" s="229">
        <v>266976</v>
      </c>
      <c r="D7" s="228">
        <v>88980</v>
      </c>
    </row>
    <row r="8" spans="2:4" ht="17.100000000000001" customHeight="1" thickBot="1" x14ac:dyDescent="0.25">
      <c r="B8" s="653" t="s">
        <v>451</v>
      </c>
      <c r="C8" s="652">
        <v>-185744</v>
      </c>
      <c r="D8" s="651">
        <v>25785</v>
      </c>
    </row>
    <row r="9" spans="2:4" ht="24.95" customHeight="1" thickBot="1" x14ac:dyDescent="0.25">
      <c r="B9" s="255" t="s">
        <v>450</v>
      </c>
      <c r="C9" s="454">
        <f>C3+C4+C5+C6+C7+C8</f>
        <v>12660389</v>
      </c>
      <c r="D9" s="453">
        <f>D3+D4+D5+D6+D7+D8</f>
        <v>8946195</v>
      </c>
    </row>
    <row r="10" spans="2:4" x14ac:dyDescent="0.2">
      <c r="B10" s="650"/>
      <c r="C10" s="649"/>
      <c r="D10" s="649"/>
    </row>
    <row r="11" spans="2:4" x14ac:dyDescent="0.2">
      <c r="B11" s="26"/>
      <c r="C11" s="25"/>
      <c r="D11" s="25"/>
    </row>
    <row r="12" spans="2:4" x14ac:dyDescent="0.2">
      <c r="B12" s="26"/>
      <c r="C12" s="24"/>
      <c r="D12" s="24"/>
    </row>
  </sheetData>
  <pageMargins left="0.34" right="0.4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2:G25"/>
  <sheetViews>
    <sheetView workbookViewId="0">
      <selection activeCell="D36" sqref="D36"/>
    </sheetView>
  </sheetViews>
  <sheetFormatPr defaultRowHeight="10.5" x14ac:dyDescent="0.2"/>
  <cols>
    <col min="1" max="1" width="26.140625" style="660" customWidth="1"/>
    <col min="2" max="2" width="10.85546875" style="660" customWidth="1"/>
    <col min="3" max="3" width="7.28515625" style="660" customWidth="1"/>
    <col min="4" max="4" width="17.28515625" style="660" bestFit="1" customWidth="1"/>
    <col min="5" max="5" width="16.7109375" style="660" customWidth="1"/>
    <col min="6" max="6" width="13.85546875" style="660" customWidth="1"/>
    <col min="7" max="7" width="13.7109375" style="660" customWidth="1"/>
    <col min="8" max="8" width="12.85546875" style="660" customWidth="1"/>
    <col min="9" max="16384" width="9.140625" style="660"/>
  </cols>
  <sheetData>
    <row r="2" spans="1:7" ht="33.950000000000003" customHeight="1" x14ac:dyDescent="0.2">
      <c r="A2" s="684" t="s">
        <v>474</v>
      </c>
      <c r="B2" s="683" t="s">
        <v>473</v>
      </c>
      <c r="C2" s="683" t="s">
        <v>472</v>
      </c>
      <c r="D2" s="683" t="s">
        <v>471</v>
      </c>
      <c r="E2" s="683" t="s">
        <v>470</v>
      </c>
      <c r="F2" s="683" t="s">
        <v>469</v>
      </c>
      <c r="G2" s="682" t="s">
        <v>468</v>
      </c>
    </row>
    <row r="3" spans="1:7" ht="17.100000000000001" customHeight="1" thickBot="1" x14ac:dyDescent="0.25">
      <c r="A3" s="634" t="s">
        <v>448</v>
      </c>
      <c r="B3" s="681"/>
      <c r="C3" s="681"/>
      <c r="D3" s="681"/>
      <c r="E3" s="681"/>
      <c r="F3" s="681"/>
      <c r="G3" s="681"/>
    </row>
    <row r="4" spans="1:7" ht="17.100000000000001" customHeight="1" thickBot="1" x14ac:dyDescent="0.25">
      <c r="A4" s="673" t="s">
        <v>464</v>
      </c>
      <c r="B4" s="679">
        <v>400000</v>
      </c>
      <c r="C4" s="678" t="s">
        <v>463</v>
      </c>
      <c r="D4" s="677" t="s">
        <v>467</v>
      </c>
      <c r="E4" s="676">
        <v>0.45979999999999999</v>
      </c>
      <c r="F4" s="680" t="s">
        <v>466</v>
      </c>
      <c r="G4" s="675">
        <v>1647425</v>
      </c>
    </row>
    <row r="5" spans="1:7" ht="17.100000000000001" customHeight="1" thickBot="1" x14ac:dyDescent="0.25">
      <c r="A5" s="673" t="s">
        <v>464</v>
      </c>
      <c r="B5" s="679">
        <v>80000</v>
      </c>
      <c r="C5" s="678" t="s">
        <v>463</v>
      </c>
      <c r="D5" s="677" t="s">
        <v>475</v>
      </c>
      <c r="E5" s="676">
        <v>2.6612</v>
      </c>
      <c r="F5" s="668" t="s">
        <v>461</v>
      </c>
      <c r="G5" s="675">
        <v>329676</v>
      </c>
    </row>
    <row r="6" spans="1:7" ht="17.100000000000001" customHeight="1" thickBot="1" x14ac:dyDescent="0.25">
      <c r="A6" s="673" t="s">
        <v>464</v>
      </c>
      <c r="B6" s="679">
        <v>170000</v>
      </c>
      <c r="C6" s="678" t="s">
        <v>463</v>
      </c>
      <c r="D6" s="677" t="s">
        <v>462</v>
      </c>
      <c r="E6" s="676">
        <v>1.4668000000000001</v>
      </c>
      <c r="F6" s="668" t="s">
        <v>461</v>
      </c>
      <c r="G6" s="675">
        <v>702308</v>
      </c>
    </row>
    <row r="7" spans="1:7" ht="27.95" customHeight="1" thickBot="1" x14ac:dyDescent="0.25">
      <c r="A7" s="673" t="s">
        <v>458</v>
      </c>
      <c r="B7" s="672">
        <v>500000</v>
      </c>
      <c r="C7" s="671" t="s">
        <v>457</v>
      </c>
      <c r="D7" s="670" t="s">
        <v>460</v>
      </c>
      <c r="E7" s="674">
        <v>4</v>
      </c>
      <c r="F7" s="668" t="s">
        <v>459</v>
      </c>
      <c r="G7" s="667">
        <v>500573</v>
      </c>
    </row>
    <row r="8" spans="1:7" ht="27.95" customHeight="1" thickBot="1" x14ac:dyDescent="0.25">
      <c r="A8" s="673" t="s">
        <v>458</v>
      </c>
      <c r="B8" s="672">
        <v>750000</v>
      </c>
      <c r="C8" s="671" t="s">
        <v>457</v>
      </c>
      <c r="D8" s="670" t="s">
        <v>456</v>
      </c>
      <c r="E8" s="674">
        <v>3.86</v>
      </c>
      <c r="F8" s="668" t="s">
        <v>455</v>
      </c>
      <c r="G8" s="667">
        <v>763367</v>
      </c>
    </row>
    <row r="9" spans="1:7" ht="17.100000000000001" customHeight="1" thickBot="1" x14ac:dyDescent="0.25">
      <c r="A9" s="666"/>
      <c r="B9" s="371"/>
      <c r="C9" s="371"/>
      <c r="D9" s="371"/>
      <c r="E9" s="370"/>
      <c r="F9" s="371"/>
      <c r="G9" s="665">
        <f>SUM(G4:G8)</f>
        <v>3943349</v>
      </c>
    </row>
    <row r="10" spans="1:7" x14ac:dyDescent="0.2">
      <c r="A10" s="664"/>
      <c r="B10" s="598"/>
      <c r="C10" s="598"/>
      <c r="D10" s="598"/>
      <c r="F10" s="662"/>
      <c r="G10" s="663"/>
    </row>
    <row r="11" spans="1:7" x14ac:dyDescent="0.2">
      <c r="F11" s="662"/>
      <c r="G11" s="661"/>
    </row>
    <row r="14" spans="1:7" ht="33.950000000000003" customHeight="1" x14ac:dyDescent="0.2">
      <c r="A14" s="684" t="s">
        <v>474</v>
      </c>
      <c r="B14" s="683" t="s">
        <v>473</v>
      </c>
      <c r="C14" s="683" t="s">
        <v>472</v>
      </c>
      <c r="D14" s="683" t="s">
        <v>471</v>
      </c>
      <c r="E14" s="683" t="s">
        <v>470</v>
      </c>
      <c r="F14" s="683" t="s">
        <v>469</v>
      </c>
      <c r="G14" s="682" t="s">
        <v>468</v>
      </c>
    </row>
    <row r="15" spans="1:7" ht="17.100000000000001" customHeight="1" thickBot="1" x14ac:dyDescent="0.25">
      <c r="A15" s="634" t="s">
        <v>419</v>
      </c>
      <c r="B15" s="681"/>
      <c r="C15" s="681"/>
      <c r="D15" s="681"/>
      <c r="E15" s="681"/>
      <c r="F15" s="681"/>
      <c r="G15" s="681"/>
    </row>
    <row r="16" spans="1:7" ht="17.100000000000001" customHeight="1" thickBot="1" x14ac:dyDescent="0.25">
      <c r="A16" s="673" t="s">
        <v>464</v>
      </c>
      <c r="B16" s="679">
        <v>400000</v>
      </c>
      <c r="C16" s="678" t="s">
        <v>463</v>
      </c>
      <c r="D16" s="677" t="s">
        <v>467</v>
      </c>
      <c r="E16" s="676">
        <v>0.38</v>
      </c>
      <c r="F16" s="680" t="s">
        <v>466</v>
      </c>
      <c r="G16" s="675">
        <v>1576159</v>
      </c>
    </row>
    <row r="17" spans="1:7" ht="17.100000000000001" customHeight="1" thickBot="1" x14ac:dyDescent="0.25">
      <c r="A17" s="673" t="s">
        <v>464</v>
      </c>
      <c r="B17" s="679">
        <v>80000</v>
      </c>
      <c r="C17" s="678" t="s">
        <v>463</v>
      </c>
      <c r="D17" s="677" t="s">
        <v>465</v>
      </c>
      <c r="E17" s="676">
        <v>0.63100000000000001</v>
      </c>
      <c r="F17" s="668" t="s">
        <v>461</v>
      </c>
      <c r="G17" s="675">
        <v>315213</v>
      </c>
    </row>
    <row r="18" spans="1:7" ht="17.100000000000001" customHeight="1" thickBot="1" x14ac:dyDescent="0.25">
      <c r="A18" s="673" t="s">
        <v>464</v>
      </c>
      <c r="B18" s="679">
        <v>170000</v>
      </c>
      <c r="C18" s="678" t="s">
        <v>463</v>
      </c>
      <c r="D18" s="677" t="s">
        <v>462</v>
      </c>
      <c r="E18" s="676">
        <v>1.4750000000000001</v>
      </c>
      <c r="F18" s="668" t="s">
        <v>461</v>
      </c>
      <c r="G18" s="675">
        <v>672003</v>
      </c>
    </row>
    <row r="19" spans="1:7" ht="27.95" customHeight="1" thickBot="1" x14ac:dyDescent="0.25">
      <c r="A19" s="673" t="s">
        <v>458</v>
      </c>
      <c r="B19" s="672">
        <v>500000</v>
      </c>
      <c r="C19" s="671" t="s">
        <v>457</v>
      </c>
      <c r="D19" s="670" t="s">
        <v>460</v>
      </c>
      <c r="E19" s="674">
        <v>4.0199999999999996</v>
      </c>
      <c r="F19" s="668" t="s">
        <v>459</v>
      </c>
      <c r="G19" s="667">
        <v>500567</v>
      </c>
    </row>
    <row r="20" spans="1:7" ht="27.95" customHeight="1" thickBot="1" x14ac:dyDescent="0.25">
      <c r="A20" s="673" t="s">
        <v>458</v>
      </c>
      <c r="B20" s="672">
        <v>750000</v>
      </c>
      <c r="C20" s="671" t="s">
        <v>457</v>
      </c>
      <c r="D20" s="670" t="s">
        <v>456</v>
      </c>
      <c r="E20" s="674">
        <v>3.89</v>
      </c>
      <c r="F20" s="668" t="s">
        <v>455</v>
      </c>
      <c r="G20" s="667">
        <v>763373</v>
      </c>
    </row>
    <row r="21" spans="1:7" ht="27.95" hidden="1" customHeight="1" thickBot="1" x14ac:dyDescent="0.25">
      <c r="A21" s="673"/>
      <c r="B21" s="672"/>
      <c r="C21" s="671"/>
      <c r="D21" s="670"/>
      <c r="E21" s="669"/>
      <c r="F21" s="668"/>
      <c r="G21" s="667"/>
    </row>
    <row r="22" spans="1:7" ht="27.95" hidden="1" customHeight="1" thickBot="1" x14ac:dyDescent="0.25">
      <c r="A22" s="673"/>
      <c r="B22" s="672"/>
      <c r="C22" s="671"/>
      <c r="D22" s="670"/>
      <c r="E22" s="669"/>
      <c r="F22" s="668"/>
      <c r="G22" s="667"/>
    </row>
    <row r="23" spans="1:7" ht="17.100000000000001" customHeight="1" thickBot="1" x14ac:dyDescent="0.25">
      <c r="A23" s="666"/>
      <c r="B23" s="371"/>
      <c r="C23" s="371"/>
      <c r="D23" s="371"/>
      <c r="E23" s="370"/>
      <c r="F23" s="371"/>
      <c r="G23" s="665">
        <f>SUM(G16:G22)</f>
        <v>3827315</v>
      </c>
    </row>
    <row r="24" spans="1:7" x14ac:dyDescent="0.2">
      <c r="A24" s="664"/>
      <c r="B24" s="598"/>
      <c r="C24" s="598"/>
      <c r="D24" s="598"/>
      <c r="F24" s="662"/>
      <c r="G24" s="663"/>
    </row>
    <row r="25" spans="1:7" x14ac:dyDescent="0.2">
      <c r="F25" s="662"/>
      <c r="G25" s="661"/>
    </row>
  </sheetData>
  <pageMargins left="0.75" right="0.75" top="1" bottom="1" header="0.5" footer="0.5"/>
  <pageSetup paperSize="9" scale="7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E16"/>
  <sheetViews>
    <sheetView workbookViewId="0">
      <selection activeCell="E9" sqref="E9"/>
    </sheetView>
  </sheetViews>
  <sheetFormatPr defaultRowHeight="10.5" x14ac:dyDescent="0.2"/>
  <cols>
    <col min="1" max="1" width="2.28515625" style="3" customWidth="1"/>
    <col min="2" max="2" width="59.7109375" style="23" customWidth="1"/>
    <col min="3" max="4" width="15.7109375" style="23" customWidth="1"/>
    <col min="5" max="16384" width="9.140625" style="22"/>
  </cols>
  <sheetData>
    <row r="2" spans="2:5" ht="17.100000000000001" customHeight="1" x14ac:dyDescent="0.2">
      <c r="B2" s="522"/>
      <c r="C2" s="521" t="s">
        <v>5</v>
      </c>
      <c r="D2" s="520" t="s">
        <v>4</v>
      </c>
    </row>
    <row r="3" spans="2:5" ht="17.100000000000001" customHeight="1" thickBot="1" x14ac:dyDescent="0.25">
      <c r="B3" s="274" t="s">
        <v>243</v>
      </c>
      <c r="C3" s="701">
        <f>D9</f>
        <v>3827315</v>
      </c>
      <c r="D3" s="700">
        <v>4127724</v>
      </c>
    </row>
    <row r="4" spans="2:5" ht="17.100000000000001" hidden="1" customHeight="1" x14ac:dyDescent="0.2">
      <c r="B4" s="699" t="s">
        <v>479</v>
      </c>
      <c r="C4" s="464">
        <v>0</v>
      </c>
      <c r="D4" s="463">
        <v>0</v>
      </c>
    </row>
    <row r="5" spans="2:5" ht="17.100000000000001" hidden="1" customHeight="1" x14ac:dyDescent="0.2">
      <c r="B5" s="698" t="s">
        <v>478</v>
      </c>
      <c r="C5" s="697">
        <v>0</v>
      </c>
      <c r="D5" s="696">
        <v>0</v>
      </c>
    </row>
    <row r="6" spans="2:5" ht="17.100000000000001" customHeight="1" x14ac:dyDescent="0.2">
      <c r="B6" s="695" t="s">
        <v>477</v>
      </c>
      <c r="C6" s="693">
        <v>0</v>
      </c>
      <c r="D6" s="692">
        <v>-637661</v>
      </c>
    </row>
    <row r="7" spans="2:5" ht="17.100000000000001" customHeight="1" x14ac:dyDescent="0.2">
      <c r="B7" s="694" t="s">
        <v>9</v>
      </c>
      <c r="C7" s="693">
        <v>115635</v>
      </c>
      <c r="D7" s="692">
        <v>337144</v>
      </c>
    </row>
    <row r="8" spans="2:5" ht="17.100000000000001" customHeight="1" thickBot="1" x14ac:dyDescent="0.25">
      <c r="B8" s="691" t="s">
        <v>451</v>
      </c>
      <c r="C8" s="690">
        <v>399</v>
      </c>
      <c r="D8" s="689">
        <v>108</v>
      </c>
    </row>
    <row r="9" spans="2:5" ht="17.100000000000001" customHeight="1" thickBot="1" x14ac:dyDescent="0.25">
      <c r="B9" s="255" t="s">
        <v>476</v>
      </c>
      <c r="C9" s="454">
        <f>SUM(C3:C8)</f>
        <v>3943349</v>
      </c>
      <c r="D9" s="453">
        <f>SUM(D3:D8)</f>
        <v>3827315</v>
      </c>
      <c r="E9" s="688"/>
    </row>
    <row r="10" spans="2:5" ht="9.9499999999999993" customHeight="1" thickBot="1" x14ac:dyDescent="0.25">
      <c r="B10" s="687"/>
      <c r="C10" s="686"/>
      <c r="D10" s="686"/>
    </row>
    <row r="11" spans="2:5" ht="17.100000000000001" customHeight="1" thickBot="1" x14ac:dyDescent="0.25">
      <c r="B11" s="255" t="s">
        <v>20</v>
      </c>
      <c r="C11" s="454">
        <v>1664119</v>
      </c>
      <c r="D11" s="453">
        <v>16799</v>
      </c>
    </row>
    <row r="12" spans="2:5" ht="17.100000000000001" customHeight="1" thickBot="1" x14ac:dyDescent="0.25">
      <c r="B12" s="255" t="s">
        <v>19</v>
      </c>
      <c r="C12" s="454">
        <v>2279230</v>
      </c>
      <c r="D12" s="453">
        <v>3810516</v>
      </c>
    </row>
    <row r="13" spans="2:5" x14ac:dyDescent="0.2">
      <c r="B13" s="650"/>
      <c r="C13" s="649"/>
      <c r="D13" s="685"/>
    </row>
    <row r="14" spans="2:5" x14ac:dyDescent="0.2">
      <c r="B14" s="26"/>
      <c r="C14" s="25"/>
      <c r="D14" s="25"/>
    </row>
    <row r="16" spans="2:5" x14ac:dyDescent="0.2">
      <c r="C16" s="24"/>
      <c r="D16" s="24"/>
    </row>
  </sheetData>
  <pageMargins left="0.17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M14"/>
  <sheetViews>
    <sheetView workbookViewId="0">
      <selection activeCell="C8" sqref="C8"/>
    </sheetView>
  </sheetViews>
  <sheetFormatPr defaultRowHeight="10.5" x14ac:dyDescent="0.15"/>
  <cols>
    <col min="1" max="1" width="40.7109375" style="1" customWidth="1"/>
    <col min="2" max="5" width="15.140625" style="1" customWidth="1"/>
    <col min="6" max="6" width="10.7109375" style="1" customWidth="1"/>
    <col min="7" max="7" width="14.42578125" style="1" customWidth="1"/>
    <col min="8" max="8" width="8.7109375" style="1" customWidth="1"/>
    <col min="9" max="9" width="10.5703125" style="1" customWidth="1"/>
    <col min="10" max="16384" width="9.140625" style="1"/>
  </cols>
  <sheetData>
    <row r="2" spans="1:13" ht="11.25" thickBot="1" x14ac:dyDescent="0.2">
      <c r="A2" s="70"/>
      <c r="B2" s="69"/>
      <c r="C2" s="69"/>
      <c r="D2" s="68"/>
      <c r="E2" s="67"/>
    </row>
    <row r="3" spans="1:13" ht="17.100000000000001" customHeight="1" thickBot="1" x14ac:dyDescent="0.2">
      <c r="A3" s="927" t="s">
        <v>38</v>
      </c>
      <c r="B3" s="928" t="s">
        <v>5</v>
      </c>
      <c r="C3" s="928"/>
      <c r="D3" s="929" t="s">
        <v>4</v>
      </c>
      <c r="E3" s="930"/>
    </row>
    <row r="4" spans="1:13" ht="24.95" customHeight="1" thickBot="1" x14ac:dyDescent="0.2">
      <c r="A4" s="927"/>
      <c r="B4" s="66" t="s">
        <v>37</v>
      </c>
      <c r="C4" s="66" t="s">
        <v>36</v>
      </c>
      <c r="D4" s="66" t="s">
        <v>37</v>
      </c>
      <c r="E4" s="65" t="s">
        <v>36</v>
      </c>
    </row>
    <row r="5" spans="1:13" ht="17.100000000000001" customHeight="1" x14ac:dyDescent="0.15">
      <c r="A5" s="64" t="s">
        <v>35</v>
      </c>
      <c r="B5" s="63">
        <v>3054628</v>
      </c>
      <c r="C5" s="62">
        <f>B5/$B$8*100</f>
        <v>99.011899730058431</v>
      </c>
      <c r="D5" s="61">
        <v>1899033</v>
      </c>
      <c r="E5" s="60">
        <f>D5/D8*100</f>
        <v>100</v>
      </c>
      <c r="J5" s="45"/>
    </row>
    <row r="6" spans="1:13" ht="17.100000000000001" customHeight="1" x14ac:dyDescent="0.15">
      <c r="A6" s="59" t="s">
        <v>34</v>
      </c>
      <c r="B6" s="58">
        <v>0</v>
      </c>
      <c r="C6" s="58">
        <f>B6/$B$8*100</f>
        <v>0</v>
      </c>
      <c r="D6" s="57">
        <v>0</v>
      </c>
      <c r="E6" s="56">
        <f>D6/D9*100</f>
        <v>0</v>
      </c>
    </row>
    <row r="7" spans="1:13" ht="17.100000000000001" customHeight="1" thickBot="1" x14ac:dyDescent="0.2">
      <c r="A7" s="55" t="s">
        <v>33</v>
      </c>
      <c r="B7" s="54">
        <v>30484</v>
      </c>
      <c r="C7" s="53">
        <f>B7/$B$8*100</f>
        <v>0.98810026994157751</v>
      </c>
      <c r="D7" s="52">
        <v>0</v>
      </c>
      <c r="E7" s="51">
        <f>D7/D10*100</f>
        <v>0</v>
      </c>
    </row>
    <row r="8" spans="1:13" ht="17.100000000000001" customHeight="1" thickBot="1" x14ac:dyDescent="0.2">
      <c r="A8" s="44" t="s">
        <v>32</v>
      </c>
      <c r="B8" s="42">
        <f>SUM(B5:B7)</f>
        <v>3085112</v>
      </c>
      <c r="C8" s="43">
        <f>SUM(C5:C7)</f>
        <v>100.00000000000001</v>
      </c>
      <c r="D8" s="42">
        <f>SUM(D5:D7)</f>
        <v>1899033</v>
      </c>
      <c r="E8" s="41">
        <f>SUM(E5:E7)</f>
        <v>100</v>
      </c>
      <c r="F8" s="40"/>
      <c r="G8" s="39"/>
      <c r="H8" s="39"/>
    </row>
    <row r="9" spans="1:13" ht="24.95" customHeight="1" thickBot="1" x14ac:dyDescent="0.2">
      <c r="A9" s="50" t="s">
        <v>31</v>
      </c>
      <c r="B9" s="48">
        <v>-2257</v>
      </c>
      <c r="C9" s="49">
        <f>-B9/B8*100</f>
        <v>7.3157797836837041E-2</v>
      </c>
      <c r="D9" s="48">
        <v>-1699</v>
      </c>
      <c r="E9" s="47">
        <f>-D9/D8*100</f>
        <v>8.9466586415296631E-2</v>
      </c>
      <c r="I9" s="37"/>
      <c r="J9" s="46"/>
      <c r="K9" s="37"/>
      <c r="L9" s="37"/>
      <c r="M9" s="45"/>
    </row>
    <row r="10" spans="1:13" ht="17.100000000000001" customHeight="1" thickBot="1" x14ac:dyDescent="0.2">
      <c r="A10" s="44" t="s">
        <v>30</v>
      </c>
      <c r="B10" s="42">
        <f>SUM(B8:B9)</f>
        <v>3082855</v>
      </c>
      <c r="C10" s="43">
        <f>C8-C9</f>
        <v>99.926842202163172</v>
      </c>
      <c r="D10" s="42">
        <f>SUM(D8:D9)</f>
        <v>1897334</v>
      </c>
      <c r="E10" s="41">
        <f>E8-E9</f>
        <v>99.910533413584702</v>
      </c>
      <c r="F10" s="40"/>
      <c r="G10" s="39"/>
      <c r="H10" s="39"/>
    </row>
    <row r="11" spans="1:13" x14ac:dyDescent="0.15">
      <c r="C11" s="38"/>
      <c r="D11" s="38"/>
      <c r="E11" s="38"/>
    </row>
    <row r="13" spans="1:13" x14ac:dyDescent="0.15">
      <c r="B13" s="37"/>
    </row>
    <row r="14" spans="1:13" x14ac:dyDescent="0.15">
      <c r="B14" s="37"/>
    </row>
  </sheetData>
  <mergeCells count="3">
    <mergeCell ref="A3:A4"/>
    <mergeCell ref="B3:C3"/>
    <mergeCell ref="D3:E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F73"/>
  <sheetViews>
    <sheetView workbookViewId="0">
      <selection activeCell="B16" sqref="B16"/>
    </sheetView>
  </sheetViews>
  <sheetFormatPr defaultRowHeight="10.5" x14ac:dyDescent="0.2"/>
  <cols>
    <col min="1" max="1" width="2.28515625" style="3" customWidth="1"/>
    <col min="2" max="2" width="59.7109375" style="23" customWidth="1"/>
    <col min="3" max="4" width="15.7109375" style="23" customWidth="1"/>
    <col min="5" max="5" width="9.140625" style="22"/>
    <col min="6" max="6" width="13.7109375" style="22" bestFit="1" customWidth="1"/>
    <col min="7" max="16384" width="9.140625" style="22"/>
  </cols>
  <sheetData>
    <row r="2" spans="2:6" ht="17.100000000000001" customHeight="1" x14ac:dyDescent="0.2">
      <c r="B2" s="522"/>
      <c r="C2" s="521" t="s">
        <v>5</v>
      </c>
      <c r="D2" s="520" t="s">
        <v>4</v>
      </c>
    </row>
    <row r="3" spans="2:6" ht="17.100000000000001" customHeight="1" thickBot="1" x14ac:dyDescent="0.25">
      <c r="B3" s="227" t="s">
        <v>507</v>
      </c>
      <c r="C3" s="708"/>
      <c r="D3" s="708"/>
    </row>
    <row r="4" spans="2:6" ht="17.100000000000001" customHeight="1" x14ac:dyDescent="0.2">
      <c r="B4" s="711" t="s">
        <v>506</v>
      </c>
      <c r="C4" s="710">
        <v>62604</v>
      </c>
      <c r="D4" s="709">
        <v>26492</v>
      </c>
    </row>
    <row r="5" spans="2:6" ht="17.100000000000001" customHeight="1" x14ac:dyDescent="0.2">
      <c r="B5" s="459" t="s">
        <v>351</v>
      </c>
      <c r="C5" s="584">
        <v>781638</v>
      </c>
      <c r="D5" s="583">
        <v>412278</v>
      </c>
    </row>
    <row r="6" spans="2:6" ht="17.100000000000001" hidden="1" customHeight="1" x14ac:dyDescent="0.2">
      <c r="B6" s="459" t="s">
        <v>505</v>
      </c>
      <c r="C6" s="584">
        <v>0</v>
      </c>
      <c r="D6" s="583">
        <v>0</v>
      </c>
    </row>
    <row r="7" spans="2:6" ht="17.100000000000001" customHeight="1" x14ac:dyDescent="0.2">
      <c r="B7" s="459" t="s">
        <v>504</v>
      </c>
      <c r="C7" s="584">
        <v>604402</v>
      </c>
      <c r="D7" s="583">
        <v>561832</v>
      </c>
    </row>
    <row r="8" spans="2:6" ht="17.100000000000001" customHeight="1" x14ac:dyDescent="0.2">
      <c r="B8" s="459" t="s">
        <v>503</v>
      </c>
      <c r="C8" s="584">
        <v>173116</v>
      </c>
      <c r="D8" s="583">
        <v>141842</v>
      </c>
    </row>
    <row r="9" spans="2:6" ht="17.100000000000001" customHeight="1" x14ac:dyDescent="0.2">
      <c r="B9" s="459" t="s">
        <v>502</v>
      </c>
      <c r="C9" s="584">
        <v>313611</v>
      </c>
      <c r="D9" s="583">
        <v>303608</v>
      </c>
    </row>
    <row r="10" spans="2:6" ht="17.100000000000001" customHeight="1" x14ac:dyDescent="0.2">
      <c r="B10" s="222" t="s">
        <v>501</v>
      </c>
      <c r="C10" s="584">
        <v>14417</v>
      </c>
      <c r="D10" s="512">
        <v>14241</v>
      </c>
    </row>
    <row r="11" spans="2:6" ht="17.100000000000001" customHeight="1" x14ac:dyDescent="0.2">
      <c r="B11" s="459" t="s">
        <v>500</v>
      </c>
      <c r="C11" s="584">
        <v>24096</v>
      </c>
      <c r="D11" s="512">
        <v>24102</v>
      </c>
    </row>
    <row r="12" spans="2:6" ht="17.100000000000001" customHeight="1" x14ac:dyDescent="0.2">
      <c r="B12" s="459" t="s">
        <v>499</v>
      </c>
      <c r="C12" s="584">
        <v>155200</v>
      </c>
      <c r="D12" s="512">
        <v>151083</v>
      </c>
      <c r="F12" s="22" t="s">
        <v>44</v>
      </c>
    </row>
    <row r="13" spans="2:6" ht="17.100000000000001" customHeight="1" thickBot="1" x14ac:dyDescent="0.25">
      <c r="B13" s="458" t="s">
        <v>157</v>
      </c>
      <c r="C13" s="597">
        <v>49706</v>
      </c>
      <c r="D13" s="596">
        <v>128613</v>
      </c>
    </row>
    <row r="14" spans="2:6" ht="17.100000000000001" customHeight="1" thickBot="1" x14ac:dyDescent="0.25">
      <c r="B14" s="255" t="s">
        <v>498</v>
      </c>
      <c r="C14" s="454">
        <f>SUM(C4:C13)</f>
        <v>2178790</v>
      </c>
      <c r="D14" s="453">
        <f>SUM(D4:D13)</f>
        <v>1764091</v>
      </c>
    </row>
    <row r="16" spans="2:6" ht="21" x14ac:dyDescent="0.2">
      <c r="B16" s="91" t="s">
        <v>497</v>
      </c>
    </row>
    <row r="18" spans="2:4" ht="17.100000000000001" customHeight="1" x14ac:dyDescent="0.2">
      <c r="B18" s="522"/>
      <c r="C18" s="521" t="s">
        <v>5</v>
      </c>
      <c r="D18" s="520" t="s">
        <v>4</v>
      </c>
    </row>
    <row r="19" spans="2:4" ht="15" customHeight="1" thickBot="1" x14ac:dyDescent="0.25">
      <c r="B19" s="227" t="s">
        <v>496</v>
      </c>
      <c r="C19" s="708"/>
      <c r="D19" s="708"/>
    </row>
    <row r="20" spans="2:4" ht="14.1" customHeight="1" thickBot="1" x14ac:dyDescent="0.25">
      <c r="B20" s="255" t="s">
        <v>495</v>
      </c>
      <c r="C20" s="705">
        <f>SUM(C21:C23)</f>
        <v>14241</v>
      </c>
      <c r="D20" s="704">
        <v>12012</v>
      </c>
    </row>
    <row r="21" spans="2:4" ht="14.1" customHeight="1" x14ac:dyDescent="0.2">
      <c r="B21" s="268" t="s">
        <v>482</v>
      </c>
      <c r="C21" s="593">
        <v>7149</v>
      </c>
      <c r="D21" s="592">
        <v>6500</v>
      </c>
    </row>
    <row r="22" spans="2:4" ht="14.1" customHeight="1" x14ac:dyDescent="0.2">
      <c r="B22" s="222" t="s">
        <v>481</v>
      </c>
      <c r="C22" s="584">
        <v>4381</v>
      </c>
      <c r="D22" s="583">
        <v>3386</v>
      </c>
    </row>
    <row r="23" spans="2:4" ht="21.75" thickBot="1" x14ac:dyDescent="0.25">
      <c r="B23" s="219" t="s">
        <v>480</v>
      </c>
      <c r="C23" s="703">
        <v>2711</v>
      </c>
      <c r="D23" s="702">
        <v>2126</v>
      </c>
    </row>
    <row r="24" spans="2:4" ht="14.1" customHeight="1" thickBot="1" x14ac:dyDescent="0.25">
      <c r="B24" s="255" t="s">
        <v>494</v>
      </c>
      <c r="C24" s="705">
        <f>C25+C29+C33+C37+C41</f>
        <v>176</v>
      </c>
      <c r="D24" s="704">
        <f>D25+D29+D33+D37+D41</f>
        <v>2229</v>
      </c>
    </row>
    <row r="25" spans="2:4" ht="14.1" customHeight="1" thickBot="1" x14ac:dyDescent="0.25">
      <c r="B25" s="255" t="s">
        <v>493</v>
      </c>
      <c r="C25" s="705">
        <f>SUM(C26:C28)</f>
        <v>766</v>
      </c>
      <c r="D25" s="704">
        <f>SUM(D26:D28)</f>
        <v>602</v>
      </c>
    </row>
    <row r="26" spans="2:4" ht="14.1" customHeight="1" x14ac:dyDescent="0.2">
      <c r="B26" s="268" t="s">
        <v>482</v>
      </c>
      <c r="C26" s="593">
        <v>525</v>
      </c>
      <c r="D26" s="592">
        <v>314</v>
      </c>
    </row>
    <row r="27" spans="2:4" ht="14.1" customHeight="1" x14ac:dyDescent="0.2">
      <c r="B27" s="222" t="s">
        <v>481</v>
      </c>
      <c r="C27" s="584">
        <v>140</v>
      </c>
      <c r="D27" s="583">
        <v>207</v>
      </c>
    </row>
    <row r="28" spans="2:4" ht="21.75" thickBot="1" x14ac:dyDescent="0.25">
      <c r="B28" s="219" t="s">
        <v>480</v>
      </c>
      <c r="C28" s="703">
        <v>101</v>
      </c>
      <c r="D28" s="702">
        <v>81</v>
      </c>
    </row>
    <row r="29" spans="2:4" ht="14.1" customHeight="1" thickBot="1" x14ac:dyDescent="0.25">
      <c r="B29" s="255" t="s">
        <v>492</v>
      </c>
      <c r="C29" s="705">
        <f>SUM(C30:C32)</f>
        <v>488</v>
      </c>
      <c r="D29" s="704">
        <f>SUM(D30:D32)</f>
        <v>525</v>
      </c>
    </row>
    <row r="30" spans="2:4" ht="14.1" customHeight="1" x14ac:dyDescent="0.2">
      <c r="B30" s="268" t="s">
        <v>482</v>
      </c>
      <c r="C30" s="593">
        <v>309</v>
      </c>
      <c r="D30" s="592">
        <v>166</v>
      </c>
    </row>
    <row r="31" spans="2:4" ht="14.1" customHeight="1" x14ac:dyDescent="0.2">
      <c r="B31" s="222" t="s">
        <v>481</v>
      </c>
      <c r="C31" s="584">
        <v>102</v>
      </c>
      <c r="D31" s="583">
        <v>295</v>
      </c>
    </row>
    <row r="32" spans="2:4" ht="21.75" thickBot="1" x14ac:dyDescent="0.25">
      <c r="B32" s="219" t="s">
        <v>480</v>
      </c>
      <c r="C32" s="703">
        <v>77</v>
      </c>
      <c r="D32" s="702">
        <v>64</v>
      </c>
    </row>
    <row r="33" spans="2:4" ht="24.95" customHeight="1" thickBot="1" x14ac:dyDescent="0.25">
      <c r="B33" s="255" t="s">
        <v>491</v>
      </c>
      <c r="C33" s="705">
        <f>SUM(C34:C36)</f>
        <v>-344</v>
      </c>
      <c r="D33" s="704">
        <f>SUM(D34:D36)</f>
        <v>1965</v>
      </c>
    </row>
    <row r="34" spans="2:4" ht="14.1" customHeight="1" x14ac:dyDescent="0.2">
      <c r="B34" s="268" t="s">
        <v>482</v>
      </c>
      <c r="C34" s="593">
        <v>-604</v>
      </c>
      <c r="D34" s="592">
        <v>728</v>
      </c>
    </row>
    <row r="35" spans="2:4" ht="14.1" customHeight="1" x14ac:dyDescent="0.2">
      <c r="B35" s="222" t="s">
        <v>481</v>
      </c>
      <c r="C35" s="584">
        <v>-199</v>
      </c>
      <c r="D35" s="583">
        <v>508</v>
      </c>
    </row>
    <row r="36" spans="2:4" ht="21.75" thickBot="1" x14ac:dyDescent="0.25">
      <c r="B36" s="219" t="s">
        <v>480</v>
      </c>
      <c r="C36" s="703">
        <v>459</v>
      </c>
      <c r="D36" s="702">
        <v>729</v>
      </c>
    </row>
    <row r="37" spans="2:4" ht="14.1" hidden="1" customHeight="1" thickBot="1" x14ac:dyDescent="0.25">
      <c r="B37" s="255" t="s">
        <v>490</v>
      </c>
      <c r="C37" s="705">
        <f>SUM(C38:C40)</f>
        <v>0</v>
      </c>
      <c r="D37" s="704">
        <f>SUM(D38:D40)</f>
        <v>0</v>
      </c>
    </row>
    <row r="38" spans="2:4" ht="14.1" hidden="1" customHeight="1" x14ac:dyDescent="0.2">
      <c r="B38" s="268" t="s">
        <v>482</v>
      </c>
      <c r="C38" s="593">
        <v>0</v>
      </c>
      <c r="D38" s="592">
        <v>0</v>
      </c>
    </row>
    <row r="39" spans="2:4" x14ac:dyDescent="0.2">
      <c r="B39" s="222" t="s">
        <v>481</v>
      </c>
      <c r="C39" s="584">
        <v>0</v>
      </c>
      <c r="D39" s="583">
        <v>0</v>
      </c>
    </row>
    <row r="40" spans="2:4" ht="11.25" thickBot="1" x14ac:dyDescent="0.25">
      <c r="B40" s="219" t="s">
        <v>485</v>
      </c>
      <c r="C40" s="703">
        <v>0</v>
      </c>
      <c r="D40" s="702">
        <v>0</v>
      </c>
    </row>
    <row r="41" spans="2:4" ht="14.1" customHeight="1" thickBot="1" x14ac:dyDescent="0.25">
      <c r="B41" s="255" t="s">
        <v>489</v>
      </c>
      <c r="C41" s="705">
        <f>SUM(C42:C44)</f>
        <v>-734</v>
      </c>
      <c r="D41" s="704">
        <f>SUM(D42:D44)</f>
        <v>-863</v>
      </c>
    </row>
    <row r="42" spans="2:4" ht="14.1" customHeight="1" x14ac:dyDescent="0.2">
      <c r="B42" s="268" t="s">
        <v>482</v>
      </c>
      <c r="C42" s="593">
        <v>-375</v>
      </c>
      <c r="D42" s="592">
        <v>-559</v>
      </c>
    </row>
    <row r="43" spans="2:4" ht="14.1" customHeight="1" x14ac:dyDescent="0.2">
      <c r="B43" s="222" t="s">
        <v>481</v>
      </c>
      <c r="C43" s="584">
        <v>0</v>
      </c>
      <c r="D43" s="583">
        <v>-15</v>
      </c>
    </row>
    <row r="44" spans="2:4" ht="21.75" thickBot="1" x14ac:dyDescent="0.25">
      <c r="B44" s="219" t="s">
        <v>480</v>
      </c>
      <c r="C44" s="703">
        <v>-359</v>
      </c>
      <c r="D44" s="702">
        <v>-289</v>
      </c>
    </row>
    <row r="45" spans="2:4" ht="14.1" customHeight="1" thickBot="1" x14ac:dyDescent="0.25">
      <c r="B45" s="255" t="s">
        <v>488</v>
      </c>
      <c r="C45" s="705">
        <f>SUM(C46:C48)</f>
        <v>14417</v>
      </c>
      <c r="D45" s="704">
        <f>SUM(D46:D48)</f>
        <v>14241</v>
      </c>
    </row>
    <row r="46" spans="2:4" ht="14.1" customHeight="1" x14ac:dyDescent="0.2">
      <c r="B46" s="268" t="s">
        <v>482</v>
      </c>
      <c r="C46" s="593">
        <f t="shared" ref="C46:D48" si="0">C21+C26+C30+C34+C38+C42</f>
        <v>7004</v>
      </c>
      <c r="D46" s="592">
        <f t="shared" si="0"/>
        <v>7149</v>
      </c>
    </row>
    <row r="47" spans="2:4" ht="14.1" customHeight="1" x14ac:dyDescent="0.2">
      <c r="B47" s="222" t="s">
        <v>481</v>
      </c>
      <c r="C47" s="584">
        <f t="shared" si="0"/>
        <v>4424</v>
      </c>
      <c r="D47" s="583">
        <f t="shared" si="0"/>
        <v>4381</v>
      </c>
    </row>
    <row r="48" spans="2:4" ht="21.75" thickBot="1" x14ac:dyDescent="0.25">
      <c r="B48" s="219" t="s">
        <v>480</v>
      </c>
      <c r="C48" s="703">
        <f t="shared" si="0"/>
        <v>2989</v>
      </c>
      <c r="D48" s="702">
        <f t="shared" si="0"/>
        <v>2711</v>
      </c>
    </row>
    <row r="49" spans="1:4" ht="5.0999999999999996" customHeight="1" thickBot="1" x14ac:dyDescent="0.25">
      <c r="D49" s="232"/>
    </row>
    <row r="50" spans="1:4" s="557" customFormat="1" ht="14.1" customHeight="1" thickBot="1" x14ac:dyDescent="0.25">
      <c r="A50" s="558"/>
      <c r="B50" s="255" t="s">
        <v>20</v>
      </c>
      <c r="C50" s="705">
        <f>SUM(C51:C53)</f>
        <v>869</v>
      </c>
      <c r="D50" s="704">
        <f>SUM(D51:D53)</f>
        <v>1136</v>
      </c>
    </row>
    <row r="51" spans="1:4" ht="14.1" customHeight="1" x14ac:dyDescent="0.2">
      <c r="B51" s="268" t="s">
        <v>482</v>
      </c>
      <c r="C51" s="593">
        <v>568</v>
      </c>
      <c r="D51" s="592">
        <v>865</v>
      </c>
    </row>
    <row r="52" spans="1:4" ht="14.1" customHeight="1" x14ac:dyDescent="0.2">
      <c r="B52" s="222" t="s">
        <v>481</v>
      </c>
      <c r="C52" s="584">
        <v>248</v>
      </c>
      <c r="D52" s="583">
        <v>223</v>
      </c>
    </row>
    <row r="53" spans="1:4" ht="21.75" thickBot="1" x14ac:dyDescent="0.25">
      <c r="B53" s="219" t="s">
        <v>480</v>
      </c>
      <c r="C53" s="703">
        <v>53</v>
      </c>
      <c r="D53" s="702">
        <v>48</v>
      </c>
    </row>
    <row r="54" spans="1:4" s="557" customFormat="1" ht="14.1" customHeight="1" thickBot="1" x14ac:dyDescent="0.25">
      <c r="A54" s="558"/>
      <c r="B54" s="255" t="s">
        <v>19</v>
      </c>
      <c r="C54" s="705">
        <f>SUM(C55:C57)</f>
        <v>13548</v>
      </c>
      <c r="D54" s="704">
        <f>SUM(D55:D57)</f>
        <v>13105</v>
      </c>
    </row>
    <row r="55" spans="1:4" ht="14.1" customHeight="1" x14ac:dyDescent="0.2">
      <c r="B55" s="268" t="s">
        <v>482</v>
      </c>
      <c r="C55" s="593">
        <v>6436</v>
      </c>
      <c r="D55" s="592">
        <v>6284</v>
      </c>
    </row>
    <row r="56" spans="1:4" ht="14.1" customHeight="1" x14ac:dyDescent="0.2">
      <c r="B56" s="222" t="s">
        <v>481</v>
      </c>
      <c r="C56" s="584">
        <v>4176</v>
      </c>
      <c r="D56" s="583">
        <v>4158</v>
      </c>
    </row>
    <row r="57" spans="1:4" ht="21.75" thickBot="1" x14ac:dyDescent="0.25">
      <c r="B57" s="219" t="s">
        <v>480</v>
      </c>
      <c r="C57" s="703">
        <v>2936</v>
      </c>
      <c r="D57" s="702">
        <v>2663</v>
      </c>
    </row>
    <row r="60" spans="1:4" ht="17.100000000000001" customHeight="1" x14ac:dyDescent="0.2">
      <c r="B60" s="522"/>
      <c r="C60" s="521" t="s">
        <v>5</v>
      </c>
      <c r="D60" s="520" t="s">
        <v>4</v>
      </c>
    </row>
    <row r="61" spans="1:4" ht="14.1" customHeight="1" thickBot="1" x14ac:dyDescent="0.25">
      <c r="B61" s="707" t="s">
        <v>487</v>
      </c>
      <c r="C61" s="706"/>
      <c r="D61" s="706"/>
    </row>
    <row r="62" spans="1:4" ht="14.1" customHeight="1" thickBot="1" x14ac:dyDescent="0.25">
      <c r="B62" s="255" t="s">
        <v>486</v>
      </c>
      <c r="C62" s="705">
        <f>SUM(C63:C65)</f>
        <v>-1323</v>
      </c>
      <c r="D62" s="704">
        <f>SUM(D63:D65)</f>
        <v>488</v>
      </c>
    </row>
    <row r="63" spans="1:4" ht="14.1" customHeight="1" x14ac:dyDescent="0.2">
      <c r="B63" s="268" t="s">
        <v>482</v>
      </c>
      <c r="C63" s="593">
        <v>-603</v>
      </c>
      <c r="D63" s="592">
        <v>193</v>
      </c>
    </row>
    <row r="64" spans="1:4" ht="14.1" customHeight="1" x14ac:dyDescent="0.2">
      <c r="B64" s="222" t="s">
        <v>481</v>
      </c>
      <c r="C64" s="584">
        <v>-392</v>
      </c>
      <c r="D64" s="583">
        <v>134</v>
      </c>
    </row>
    <row r="65" spans="2:4" ht="14.1" customHeight="1" thickBot="1" x14ac:dyDescent="0.25">
      <c r="B65" s="219" t="s">
        <v>485</v>
      </c>
      <c r="C65" s="703">
        <v>-328</v>
      </c>
      <c r="D65" s="702">
        <v>161</v>
      </c>
    </row>
    <row r="66" spans="2:4" ht="14.1" customHeight="1" thickBot="1" x14ac:dyDescent="0.25">
      <c r="B66" s="255" t="s">
        <v>484</v>
      </c>
      <c r="C66" s="705">
        <f>SUM(C67:C69)</f>
        <v>270</v>
      </c>
      <c r="D66" s="704">
        <f>SUM(D67:D69)</f>
        <v>489</v>
      </c>
    </row>
    <row r="67" spans="2:4" ht="14.1" customHeight="1" x14ac:dyDescent="0.2">
      <c r="B67" s="268" t="s">
        <v>482</v>
      </c>
      <c r="C67" s="593">
        <v>114</v>
      </c>
      <c r="D67" s="592">
        <v>262</v>
      </c>
    </row>
    <row r="68" spans="2:4" ht="14.1" customHeight="1" x14ac:dyDescent="0.2">
      <c r="B68" s="222" t="s">
        <v>481</v>
      </c>
      <c r="C68" s="584">
        <v>130</v>
      </c>
      <c r="D68" s="583">
        <v>-52</v>
      </c>
    </row>
    <row r="69" spans="2:4" ht="21.75" thickBot="1" x14ac:dyDescent="0.25">
      <c r="B69" s="219" t="s">
        <v>480</v>
      </c>
      <c r="C69" s="703">
        <v>26</v>
      </c>
      <c r="D69" s="702">
        <v>279</v>
      </c>
    </row>
    <row r="70" spans="2:4" ht="14.1" customHeight="1" thickBot="1" x14ac:dyDescent="0.25">
      <c r="B70" s="255" t="s">
        <v>483</v>
      </c>
      <c r="C70" s="705">
        <f>SUM(C71:C73)</f>
        <v>709</v>
      </c>
      <c r="D70" s="704">
        <f>SUM(D71:D73)</f>
        <v>988</v>
      </c>
    </row>
    <row r="71" spans="2:4" ht="14.1" customHeight="1" x14ac:dyDescent="0.2">
      <c r="B71" s="268" t="s">
        <v>482</v>
      </c>
      <c r="C71" s="593">
        <v>-115</v>
      </c>
      <c r="D71" s="592">
        <v>273</v>
      </c>
    </row>
    <row r="72" spans="2:4" ht="14.1" customHeight="1" x14ac:dyDescent="0.2">
      <c r="B72" s="222" t="s">
        <v>481</v>
      </c>
      <c r="C72" s="584">
        <v>63</v>
      </c>
      <c r="D72" s="583">
        <v>426</v>
      </c>
    </row>
    <row r="73" spans="2:4" ht="21.75" thickBot="1" x14ac:dyDescent="0.25">
      <c r="B73" s="219" t="s">
        <v>480</v>
      </c>
      <c r="C73" s="703">
        <v>761</v>
      </c>
      <c r="D73" s="702">
        <v>289</v>
      </c>
    </row>
  </sheetData>
  <pageMargins left="0.36" right="0.47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F80"/>
  <sheetViews>
    <sheetView workbookViewId="0">
      <selection activeCell="E19" sqref="E19"/>
    </sheetView>
  </sheetViews>
  <sheetFormatPr defaultRowHeight="10.5" x14ac:dyDescent="0.2"/>
  <cols>
    <col min="1" max="1" width="2.28515625" style="31" customWidth="1"/>
    <col min="2" max="2" width="59.7109375" style="483" customWidth="1"/>
    <col min="3" max="4" width="15.7109375" style="483" customWidth="1"/>
    <col min="5" max="16384" width="9.140625" style="29"/>
  </cols>
  <sheetData>
    <row r="2" spans="2:6" ht="17.100000000000001" customHeight="1" x14ac:dyDescent="0.2">
      <c r="B2" s="522"/>
      <c r="C2" s="521" t="s">
        <v>5</v>
      </c>
      <c r="D2" s="520" t="s">
        <v>4</v>
      </c>
      <c r="E2" s="22"/>
      <c r="F2" s="22"/>
    </row>
    <row r="3" spans="2:6" ht="17.100000000000001" customHeight="1" x14ac:dyDescent="0.2">
      <c r="B3" s="499" t="s">
        <v>531</v>
      </c>
      <c r="C3" s="742">
        <v>43435</v>
      </c>
      <c r="D3" s="741">
        <v>45606</v>
      </c>
      <c r="E3" s="22"/>
      <c r="F3" s="22"/>
    </row>
    <row r="4" spans="2:6" ht="17.100000000000001" customHeight="1" x14ac:dyDescent="0.2">
      <c r="B4" s="459" t="s">
        <v>513</v>
      </c>
      <c r="C4" s="584">
        <v>113192</v>
      </c>
      <c r="D4" s="583">
        <v>99582</v>
      </c>
      <c r="E4" s="22"/>
      <c r="F4" s="22"/>
    </row>
    <row r="5" spans="2:6" ht="17.100000000000001" customHeight="1" thickBot="1" x14ac:dyDescent="0.25">
      <c r="B5" s="493" t="s">
        <v>7</v>
      </c>
      <c r="C5" s="703">
        <v>26127</v>
      </c>
      <c r="D5" s="702">
        <v>80228</v>
      </c>
      <c r="E5" s="22"/>
      <c r="F5" s="22"/>
    </row>
    <row r="6" spans="2:6" ht="17.100000000000001" customHeight="1" thickBot="1" x14ac:dyDescent="0.25">
      <c r="B6" s="255" t="s">
        <v>530</v>
      </c>
      <c r="C6" s="454">
        <f>SUM(C3:C5)</f>
        <v>182754</v>
      </c>
      <c r="D6" s="453">
        <f>SUM(D3:D5)</f>
        <v>225416</v>
      </c>
      <c r="E6" s="22"/>
      <c r="F6" s="22"/>
    </row>
    <row r="7" spans="2:6" ht="17.100000000000001" customHeight="1" x14ac:dyDescent="0.2">
      <c r="C7" s="714"/>
      <c r="D7" s="714"/>
    </row>
    <row r="8" spans="2:6" ht="17.100000000000001" customHeight="1" x14ac:dyDescent="0.2">
      <c r="B8" s="26"/>
      <c r="C8" s="740"/>
      <c r="D8" s="740"/>
    </row>
    <row r="9" spans="2:6" ht="17.100000000000001" customHeight="1" x14ac:dyDescent="0.2">
      <c r="B9" s="488" t="s">
        <v>529</v>
      </c>
      <c r="C9" s="714"/>
      <c r="D9" s="714"/>
    </row>
    <row r="10" spans="2:6" ht="17.100000000000001" customHeight="1" x14ac:dyDescent="0.2">
      <c r="B10" s="522"/>
      <c r="C10" s="521" t="s">
        <v>5</v>
      </c>
      <c r="D10" s="520" t="s">
        <v>4</v>
      </c>
    </row>
    <row r="11" spans="2:6" ht="14.1" customHeight="1" thickBot="1" x14ac:dyDescent="0.25">
      <c r="B11" s="274" t="s">
        <v>528</v>
      </c>
      <c r="C11" s="701">
        <f>SUM(C12:C14)</f>
        <v>225416</v>
      </c>
      <c r="D11" s="700">
        <v>176881</v>
      </c>
    </row>
    <row r="12" spans="2:6" ht="14.1" customHeight="1" x14ac:dyDescent="0.2">
      <c r="B12" s="728" t="s">
        <v>527</v>
      </c>
      <c r="C12" s="739">
        <v>45606</v>
      </c>
      <c r="D12" s="726">
        <v>49613</v>
      </c>
    </row>
    <row r="13" spans="2:6" ht="14.1" customHeight="1" x14ac:dyDescent="0.2">
      <c r="B13" s="459" t="s">
        <v>513</v>
      </c>
      <c r="C13" s="584">
        <v>99582</v>
      </c>
      <c r="D13" s="583">
        <v>96933</v>
      </c>
    </row>
    <row r="14" spans="2:6" ht="14.1" customHeight="1" thickBot="1" x14ac:dyDescent="0.25">
      <c r="B14" s="738" t="s">
        <v>7</v>
      </c>
      <c r="C14" s="737">
        <v>80228</v>
      </c>
      <c r="D14" s="736">
        <v>30335</v>
      </c>
    </row>
    <row r="15" spans="2:6" ht="14.1" customHeight="1" thickBot="1" x14ac:dyDescent="0.25">
      <c r="B15" s="735" t="s">
        <v>526</v>
      </c>
      <c r="C15" s="454">
        <f>SUM(C16,C20,C24:C28)</f>
        <v>-42662</v>
      </c>
      <c r="D15" s="453">
        <f>D16+D20+D24+D25+D26+D27+D28+D29</f>
        <v>48535</v>
      </c>
    </row>
    <row r="16" spans="2:6" ht="14.1" customHeight="1" thickBot="1" x14ac:dyDescent="0.25">
      <c r="B16" s="731" t="s">
        <v>525</v>
      </c>
      <c r="C16" s="730">
        <f>SUM(C17:C19)</f>
        <v>137911</v>
      </c>
      <c r="D16" s="729">
        <f>SUM(D17:D19)</f>
        <v>215357</v>
      </c>
    </row>
    <row r="17" spans="2:4" ht="14.1" customHeight="1" x14ac:dyDescent="0.2">
      <c r="B17" s="459" t="s">
        <v>523</v>
      </c>
      <c r="C17" s="584">
        <v>114184</v>
      </c>
      <c r="D17" s="583">
        <v>146689</v>
      </c>
    </row>
    <row r="18" spans="2:4" ht="14.1" customHeight="1" x14ac:dyDescent="0.2">
      <c r="B18" s="459" t="s">
        <v>522</v>
      </c>
      <c r="C18" s="584">
        <v>19684</v>
      </c>
      <c r="D18" s="583">
        <v>8762</v>
      </c>
    </row>
    <row r="19" spans="2:4" ht="14.1" customHeight="1" thickBot="1" x14ac:dyDescent="0.25">
      <c r="B19" s="459" t="s">
        <v>521</v>
      </c>
      <c r="C19" s="584">
        <v>4043</v>
      </c>
      <c r="D19" s="583">
        <v>59906</v>
      </c>
    </row>
    <row r="20" spans="2:4" ht="14.1" customHeight="1" thickBot="1" x14ac:dyDescent="0.25">
      <c r="B20" s="731" t="s">
        <v>524</v>
      </c>
      <c r="C20" s="730">
        <f>SUM(C21:C23)</f>
        <v>-119387</v>
      </c>
      <c r="D20" s="729">
        <f>SUM(D21:D23)</f>
        <v>-150761</v>
      </c>
    </row>
    <row r="21" spans="2:4" ht="14.1" customHeight="1" x14ac:dyDescent="0.2">
      <c r="B21" s="459" t="s">
        <v>523</v>
      </c>
      <c r="C21" s="584">
        <v>-116646</v>
      </c>
      <c r="D21" s="583">
        <v>-150761</v>
      </c>
    </row>
    <row r="22" spans="2:4" ht="14.1" customHeight="1" x14ac:dyDescent="0.2">
      <c r="B22" s="459" t="s">
        <v>522</v>
      </c>
      <c r="C22" s="584">
        <v>-2366</v>
      </c>
      <c r="D22" s="583">
        <v>0</v>
      </c>
    </row>
    <row r="23" spans="2:4" ht="14.1" customHeight="1" x14ac:dyDescent="0.2">
      <c r="B23" s="459" t="s">
        <v>521</v>
      </c>
      <c r="C23" s="584">
        <v>-375</v>
      </c>
      <c r="D23" s="583">
        <v>0</v>
      </c>
    </row>
    <row r="24" spans="2:4" ht="14.1" customHeight="1" x14ac:dyDescent="0.2">
      <c r="B24" s="459" t="s">
        <v>520</v>
      </c>
      <c r="C24" s="584">
        <v>-61488</v>
      </c>
      <c r="D24" s="583">
        <v>-16167</v>
      </c>
    </row>
    <row r="25" spans="2:4" ht="14.1" hidden="1" customHeight="1" x14ac:dyDescent="0.2">
      <c r="B25" s="459" t="s">
        <v>519</v>
      </c>
      <c r="C25" s="584">
        <v>0</v>
      </c>
      <c r="D25" s="583">
        <v>0</v>
      </c>
    </row>
    <row r="26" spans="2:4" ht="14.1" customHeight="1" x14ac:dyDescent="0.2">
      <c r="B26" s="459" t="s">
        <v>518</v>
      </c>
      <c r="C26" s="584">
        <v>0</v>
      </c>
      <c r="D26" s="583">
        <v>37</v>
      </c>
    </row>
    <row r="27" spans="2:4" ht="14.1" hidden="1" customHeight="1" x14ac:dyDescent="0.2">
      <c r="B27" s="458" t="s">
        <v>517</v>
      </c>
      <c r="C27" s="597">
        <v>0</v>
      </c>
      <c r="D27" s="596">
        <v>0</v>
      </c>
    </row>
    <row r="28" spans="2:4" ht="14.1" customHeight="1" thickBot="1" x14ac:dyDescent="0.25">
      <c r="B28" s="734" t="s">
        <v>516</v>
      </c>
      <c r="C28" s="733">
        <v>302</v>
      </c>
      <c r="D28" s="732">
        <v>69</v>
      </c>
    </row>
    <row r="29" spans="2:4" ht="14.1" hidden="1" customHeight="1" thickBot="1" x14ac:dyDescent="0.25">
      <c r="B29" s="731" t="s">
        <v>157</v>
      </c>
      <c r="C29" s="730">
        <v>0</v>
      </c>
      <c r="D29" s="729">
        <v>0</v>
      </c>
    </row>
    <row r="30" spans="2:4" ht="14.1" customHeight="1" thickBot="1" x14ac:dyDescent="0.25">
      <c r="B30" s="255" t="s">
        <v>515</v>
      </c>
      <c r="C30" s="454">
        <f>SUM(C31:C33)</f>
        <v>182754</v>
      </c>
      <c r="D30" s="453">
        <f>D11+D15</f>
        <v>225416</v>
      </c>
    </row>
    <row r="31" spans="2:4" ht="14.1" customHeight="1" x14ac:dyDescent="0.2">
      <c r="B31" s="728" t="s">
        <v>514</v>
      </c>
      <c r="C31" s="727">
        <v>43435</v>
      </c>
      <c r="D31" s="726">
        <v>45606</v>
      </c>
    </row>
    <row r="32" spans="2:4" ht="14.1" customHeight="1" x14ac:dyDescent="0.2">
      <c r="B32" s="459" t="s">
        <v>513</v>
      </c>
      <c r="C32" s="584">
        <v>113192</v>
      </c>
      <c r="D32" s="583">
        <v>99582</v>
      </c>
    </row>
    <row r="33" spans="2:5" ht="14.1" customHeight="1" thickBot="1" x14ac:dyDescent="0.25">
      <c r="B33" s="493" t="s">
        <v>7</v>
      </c>
      <c r="C33" s="703">
        <v>26127</v>
      </c>
      <c r="D33" s="702">
        <v>80228</v>
      </c>
    </row>
    <row r="34" spans="2:5" ht="17.100000000000001" customHeight="1" x14ac:dyDescent="0.2">
      <c r="B34" s="232"/>
      <c r="C34" s="279"/>
      <c r="D34" s="279"/>
    </row>
    <row r="35" spans="2:5" ht="17.100000000000001" customHeight="1" x14ac:dyDescent="0.2">
      <c r="B35" s="26"/>
      <c r="C35" s="713"/>
      <c r="D35" s="713"/>
    </row>
    <row r="36" spans="2:5" ht="17.100000000000001" customHeight="1" x14ac:dyDescent="0.2">
      <c r="C36" s="725"/>
      <c r="D36" s="725"/>
    </row>
    <row r="37" spans="2:5" ht="17.100000000000001" customHeight="1" x14ac:dyDescent="0.2">
      <c r="B37" s="522"/>
      <c r="C37" s="521" t="s">
        <v>5</v>
      </c>
      <c r="D37" s="520" t="s">
        <v>4</v>
      </c>
      <c r="E37" s="22"/>
    </row>
    <row r="38" spans="2:5" ht="14.1" customHeight="1" thickBot="1" x14ac:dyDescent="0.25">
      <c r="B38" s="724" t="s">
        <v>145</v>
      </c>
      <c r="C38" s="486"/>
      <c r="D38" s="486"/>
      <c r="E38" s="22"/>
    </row>
    <row r="39" spans="2:5" ht="14.1" customHeight="1" x14ac:dyDescent="0.2">
      <c r="B39" s="656" t="s">
        <v>510</v>
      </c>
      <c r="C39" s="723">
        <v>28541249</v>
      </c>
      <c r="D39" s="654">
        <v>26066206</v>
      </c>
      <c r="E39" s="22"/>
    </row>
    <row r="40" spans="2:5" ht="24.95" customHeight="1" thickBot="1" x14ac:dyDescent="0.25">
      <c r="B40" s="219" t="s">
        <v>512</v>
      </c>
      <c r="C40" s="492">
        <v>-25831</v>
      </c>
      <c r="D40" s="722">
        <v>-31147</v>
      </c>
      <c r="E40" s="22"/>
    </row>
    <row r="41" spans="2:5" ht="14.1" customHeight="1" thickBot="1" x14ac:dyDescent="0.25">
      <c r="B41" s="255" t="s">
        <v>508</v>
      </c>
      <c r="C41" s="715">
        <f>SUM(C39:C40)</f>
        <v>28515418</v>
      </c>
      <c r="D41" s="484">
        <f>SUM(D39:D40)</f>
        <v>26035059</v>
      </c>
      <c r="E41" s="22"/>
    </row>
    <row r="42" spans="2:5" ht="5.0999999999999996" customHeight="1" thickBot="1" x14ac:dyDescent="0.25">
      <c r="B42" s="721"/>
      <c r="C42" s="720"/>
      <c r="D42" s="471"/>
      <c r="E42" s="22"/>
    </row>
    <row r="43" spans="2:5" ht="14.1" customHeight="1" thickBot="1" x14ac:dyDescent="0.25">
      <c r="B43" s="719" t="s">
        <v>511</v>
      </c>
      <c r="C43" s="718"/>
      <c r="D43" s="717"/>
      <c r="E43" s="22"/>
    </row>
    <row r="44" spans="2:5" ht="14.1" customHeight="1" x14ac:dyDescent="0.2">
      <c r="B44" s="225" t="s">
        <v>510</v>
      </c>
      <c r="C44" s="716">
        <v>32388</v>
      </c>
      <c r="D44" s="230">
        <v>28259</v>
      </c>
      <c r="E44" s="22"/>
    </row>
    <row r="45" spans="2:5" ht="24.95" customHeight="1" thickBot="1" x14ac:dyDescent="0.25">
      <c r="B45" s="222" t="s">
        <v>509</v>
      </c>
      <c r="C45" s="501">
        <v>-17604</v>
      </c>
      <c r="D45" s="228">
        <v>-14459</v>
      </c>
      <c r="E45" s="22"/>
    </row>
    <row r="46" spans="2:5" ht="14.1" customHeight="1" thickBot="1" x14ac:dyDescent="0.25">
      <c r="B46" s="255" t="s">
        <v>508</v>
      </c>
      <c r="C46" s="715">
        <f>SUM(C44:C45)</f>
        <v>14784</v>
      </c>
      <c r="D46" s="484">
        <f>SUM(D44:D45)</f>
        <v>13800</v>
      </c>
      <c r="E46" s="22"/>
    </row>
    <row r="47" spans="2:5" ht="17.100000000000001" customHeight="1" x14ac:dyDescent="0.2">
      <c r="C47" s="714"/>
      <c r="D47" s="714"/>
    </row>
    <row r="48" spans="2:5" ht="17.100000000000001" customHeight="1" x14ac:dyDescent="0.2">
      <c r="B48" s="26"/>
      <c r="C48" s="713"/>
      <c r="D48" s="713"/>
    </row>
    <row r="49" spans="3:4" x14ac:dyDescent="0.2">
      <c r="C49" s="713"/>
      <c r="D49" s="713"/>
    </row>
    <row r="51" spans="3:4" x14ac:dyDescent="0.2">
      <c r="D51" s="712"/>
    </row>
    <row r="52" spans="3:4" x14ac:dyDescent="0.2">
      <c r="D52" s="712"/>
    </row>
    <row r="53" spans="3:4" x14ac:dyDescent="0.2">
      <c r="D53" s="712"/>
    </row>
    <row r="54" spans="3:4" x14ac:dyDescent="0.2">
      <c r="D54" s="712"/>
    </row>
    <row r="55" spans="3:4" x14ac:dyDescent="0.2">
      <c r="D55" s="712"/>
    </row>
    <row r="56" spans="3:4" x14ac:dyDescent="0.2">
      <c r="D56" s="712"/>
    </row>
    <row r="57" spans="3:4" x14ac:dyDescent="0.2">
      <c r="D57" s="712"/>
    </row>
    <row r="58" spans="3:4" x14ac:dyDescent="0.2">
      <c r="D58" s="712"/>
    </row>
    <row r="59" spans="3:4" x14ac:dyDescent="0.2">
      <c r="D59" s="712"/>
    </row>
    <row r="60" spans="3:4" x14ac:dyDescent="0.2">
      <c r="D60" s="712"/>
    </row>
    <row r="61" spans="3:4" x14ac:dyDescent="0.2">
      <c r="D61" s="712"/>
    </row>
    <row r="62" spans="3:4" x14ac:dyDescent="0.2">
      <c r="D62" s="712"/>
    </row>
    <row r="63" spans="3:4" x14ac:dyDescent="0.2">
      <c r="D63" s="712"/>
    </row>
    <row r="64" spans="3:4" x14ac:dyDescent="0.2">
      <c r="D64" s="712"/>
    </row>
    <row r="65" spans="4:4" x14ac:dyDescent="0.2">
      <c r="D65" s="712"/>
    </row>
    <row r="66" spans="4:4" x14ac:dyDescent="0.2">
      <c r="D66" s="712"/>
    </row>
    <row r="67" spans="4:4" x14ac:dyDescent="0.2">
      <c r="D67" s="712"/>
    </row>
    <row r="68" spans="4:4" x14ac:dyDescent="0.2">
      <c r="D68" s="712"/>
    </row>
    <row r="69" spans="4:4" x14ac:dyDescent="0.2">
      <c r="D69" s="712"/>
    </row>
    <row r="70" spans="4:4" x14ac:dyDescent="0.2">
      <c r="D70" s="712"/>
    </row>
    <row r="71" spans="4:4" x14ac:dyDescent="0.2">
      <c r="D71" s="712"/>
    </row>
    <row r="72" spans="4:4" x14ac:dyDescent="0.2">
      <c r="D72" s="712"/>
    </row>
    <row r="73" spans="4:4" x14ac:dyDescent="0.2">
      <c r="D73" s="712"/>
    </row>
    <row r="74" spans="4:4" x14ac:dyDescent="0.2">
      <c r="D74" s="712"/>
    </row>
    <row r="75" spans="4:4" x14ac:dyDescent="0.2">
      <c r="D75" s="712"/>
    </row>
    <row r="76" spans="4:4" x14ac:dyDescent="0.2">
      <c r="D76" s="712"/>
    </row>
    <row r="77" spans="4:4" x14ac:dyDescent="0.2">
      <c r="D77" s="712"/>
    </row>
    <row r="78" spans="4:4" x14ac:dyDescent="0.2">
      <c r="D78" s="712"/>
    </row>
    <row r="79" spans="4:4" x14ac:dyDescent="0.2">
      <c r="D79" s="712"/>
    </row>
    <row r="80" spans="4:4" x14ac:dyDescent="0.2">
      <c r="D80" s="712"/>
    </row>
  </sheetData>
  <pageMargins left="0.28999999999999998" right="0.4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2:J91"/>
  <sheetViews>
    <sheetView workbookViewId="0">
      <selection activeCell="B83" sqref="B83"/>
    </sheetView>
  </sheetViews>
  <sheetFormatPr defaultRowHeight="10.5" x14ac:dyDescent="0.2"/>
  <cols>
    <col min="1" max="1" width="2.28515625" style="743" customWidth="1"/>
    <col min="2" max="2" width="60.42578125" style="23" customWidth="1"/>
    <col min="3" max="4" width="15" style="234" customWidth="1"/>
    <col min="5" max="5" width="15" style="23" customWidth="1"/>
    <col min="6" max="7" width="15" style="23" hidden="1" customWidth="1"/>
    <col min="8" max="9" width="15" style="23" customWidth="1"/>
    <col min="10" max="16384" width="9.140625" style="23"/>
  </cols>
  <sheetData>
    <row r="2" spans="1:10" s="232" customFormat="1" x14ac:dyDescent="0.2">
      <c r="A2" s="750"/>
      <c r="B2" s="787" t="s">
        <v>563</v>
      </c>
      <c r="C2" s="786"/>
      <c r="D2" s="786"/>
      <c r="E2" s="496"/>
      <c r="F2" s="496"/>
      <c r="G2" s="496"/>
      <c r="H2" s="496"/>
      <c r="I2" s="496"/>
      <c r="J2" s="496"/>
    </row>
    <row r="3" spans="1:10" s="232" customFormat="1" x14ac:dyDescent="0.2">
      <c r="A3" s="750"/>
      <c r="B3" s="785"/>
      <c r="C3" s="784"/>
      <c r="D3" s="784"/>
      <c r="E3" s="496"/>
      <c r="F3" s="496"/>
      <c r="G3" s="496"/>
      <c r="H3" s="496"/>
      <c r="I3" s="496"/>
      <c r="J3" s="496"/>
    </row>
    <row r="4" spans="1:10" s="232" customFormat="1" ht="45" customHeight="1" x14ac:dyDescent="0.2">
      <c r="A4" s="750"/>
      <c r="B4" s="552" t="s">
        <v>562</v>
      </c>
      <c r="C4" s="770" t="s">
        <v>558</v>
      </c>
      <c r="D4" s="770" t="s">
        <v>554</v>
      </c>
      <c r="E4" s="770" t="s">
        <v>553</v>
      </c>
      <c r="F4" s="770" t="s">
        <v>552</v>
      </c>
      <c r="G4" s="770" t="s">
        <v>9</v>
      </c>
      <c r="H4" s="770" t="s">
        <v>551</v>
      </c>
      <c r="I4" s="769" t="s">
        <v>557</v>
      </c>
      <c r="J4" s="496"/>
    </row>
    <row r="5" spans="1:10" s="232" customFormat="1" ht="17.100000000000001" customHeight="1" x14ac:dyDescent="0.2">
      <c r="A5" s="750"/>
      <c r="B5" s="768" t="s">
        <v>544</v>
      </c>
      <c r="C5" s="767">
        <f t="shared" ref="C5:C14" si="0">I20</f>
        <v>102469</v>
      </c>
      <c r="D5" s="767">
        <v>7007</v>
      </c>
      <c r="E5" s="767">
        <v>0</v>
      </c>
      <c r="F5" s="767">
        <v>0</v>
      </c>
      <c r="G5" s="767">
        <v>0</v>
      </c>
      <c r="H5" s="767">
        <v>0</v>
      </c>
      <c r="I5" s="766">
        <f t="shared" ref="I5:I14" si="1">SUM(C5:H5)</f>
        <v>109476</v>
      </c>
      <c r="J5" s="496"/>
    </row>
    <row r="6" spans="1:10" s="232" customFormat="1" ht="17.100000000000001" customHeight="1" x14ac:dyDescent="0.2">
      <c r="A6" s="750"/>
      <c r="B6" s="765" t="s">
        <v>543</v>
      </c>
      <c r="C6" s="762">
        <f t="shared" si="0"/>
        <v>841</v>
      </c>
      <c r="D6" s="762">
        <v>1187</v>
      </c>
      <c r="E6" s="762">
        <v>0</v>
      </c>
      <c r="F6" s="762">
        <v>0</v>
      </c>
      <c r="G6" s="762">
        <v>0</v>
      </c>
      <c r="H6" s="762">
        <v>0</v>
      </c>
      <c r="I6" s="761">
        <f t="shared" si="1"/>
        <v>2028</v>
      </c>
      <c r="J6" s="496"/>
    </row>
    <row r="7" spans="1:10" s="232" customFormat="1" ht="17.100000000000001" customHeight="1" x14ac:dyDescent="0.2">
      <c r="A7" s="750"/>
      <c r="B7" s="765" t="s">
        <v>542</v>
      </c>
      <c r="C7" s="762">
        <f t="shared" si="0"/>
        <v>43856</v>
      </c>
      <c r="D7" s="762">
        <v>-15121</v>
      </c>
      <c r="E7" s="762">
        <f>16186-1</f>
        <v>16185</v>
      </c>
      <c r="F7" s="762">
        <v>0</v>
      </c>
      <c r="G7" s="762">
        <v>0</v>
      </c>
      <c r="H7" s="762">
        <v>0</v>
      </c>
      <c r="I7" s="761">
        <f t="shared" si="1"/>
        <v>44920</v>
      </c>
      <c r="J7" s="496"/>
    </row>
    <row r="8" spans="1:10" s="232" customFormat="1" ht="17.100000000000001" customHeight="1" x14ac:dyDescent="0.2">
      <c r="A8" s="750"/>
      <c r="B8" s="764" t="s">
        <v>541</v>
      </c>
      <c r="C8" s="762">
        <f t="shared" si="0"/>
        <v>228699</v>
      </c>
      <c r="D8" s="762">
        <v>46113</v>
      </c>
      <c r="E8" s="762">
        <v>0</v>
      </c>
      <c r="F8" s="762">
        <v>0</v>
      </c>
      <c r="G8" s="762">
        <v>0</v>
      </c>
      <c r="H8" s="762">
        <v>0</v>
      </c>
      <c r="I8" s="761">
        <f t="shared" si="1"/>
        <v>274812</v>
      </c>
      <c r="J8" s="496"/>
    </row>
    <row r="9" spans="1:10" s="232" customFormat="1" ht="17.100000000000001" customHeight="1" x14ac:dyDescent="0.2">
      <c r="A9" s="750"/>
      <c r="B9" s="764" t="s">
        <v>540</v>
      </c>
      <c r="C9" s="762">
        <f t="shared" si="0"/>
        <v>35258</v>
      </c>
      <c r="D9" s="762">
        <v>887</v>
      </c>
      <c r="E9" s="762">
        <v>-65</v>
      </c>
      <c r="F9" s="762">
        <v>0</v>
      </c>
      <c r="G9" s="762">
        <v>0</v>
      </c>
      <c r="H9" s="762">
        <v>0</v>
      </c>
      <c r="I9" s="761">
        <f t="shared" si="1"/>
        <v>36080</v>
      </c>
      <c r="J9" s="496"/>
    </row>
    <row r="10" spans="1:10" s="232" customFormat="1" ht="17.100000000000001" customHeight="1" x14ac:dyDescent="0.2">
      <c r="A10" s="750"/>
      <c r="B10" s="763" t="s">
        <v>539</v>
      </c>
      <c r="C10" s="762">
        <f t="shared" si="0"/>
        <v>43463</v>
      </c>
      <c r="D10" s="762">
        <v>-10224</v>
      </c>
      <c r="E10" s="762">
        <v>0</v>
      </c>
      <c r="F10" s="762">
        <v>0</v>
      </c>
      <c r="G10" s="762">
        <v>0</v>
      </c>
      <c r="H10" s="762">
        <v>0</v>
      </c>
      <c r="I10" s="761">
        <f t="shared" si="1"/>
        <v>33239</v>
      </c>
      <c r="J10" s="496"/>
    </row>
    <row r="11" spans="1:10" s="232" customFormat="1" ht="17.100000000000001" customHeight="1" x14ac:dyDescent="0.2">
      <c r="A11" s="750"/>
      <c r="B11" s="783" t="s">
        <v>538</v>
      </c>
      <c r="C11" s="762">
        <f t="shared" si="0"/>
        <v>26823</v>
      </c>
      <c r="D11" s="762">
        <v>-153</v>
      </c>
      <c r="E11" s="762">
        <v>0</v>
      </c>
      <c r="F11" s="762">
        <v>0</v>
      </c>
      <c r="G11" s="762">
        <v>0</v>
      </c>
      <c r="H11" s="762">
        <v>0</v>
      </c>
      <c r="I11" s="761">
        <f t="shared" si="1"/>
        <v>26670</v>
      </c>
    </row>
    <row r="12" spans="1:10" s="232" customFormat="1" ht="17.100000000000001" customHeight="1" x14ac:dyDescent="0.2">
      <c r="A12" s="750"/>
      <c r="B12" s="782" t="s">
        <v>534</v>
      </c>
      <c r="C12" s="762">
        <f t="shared" si="0"/>
        <v>263</v>
      </c>
      <c r="D12" s="762">
        <v>-66</v>
      </c>
      <c r="E12" s="762">
        <v>0</v>
      </c>
      <c r="F12" s="762">
        <v>0</v>
      </c>
      <c r="G12" s="762">
        <v>0</v>
      </c>
      <c r="H12" s="762">
        <v>0</v>
      </c>
      <c r="I12" s="761">
        <f t="shared" si="1"/>
        <v>197</v>
      </c>
    </row>
    <row r="13" spans="1:10" s="232" customFormat="1" ht="17.100000000000001" customHeight="1" x14ac:dyDescent="0.2">
      <c r="A13" s="750"/>
      <c r="B13" s="782" t="s">
        <v>535</v>
      </c>
      <c r="C13" s="762">
        <f t="shared" si="0"/>
        <v>203207</v>
      </c>
      <c r="D13" s="762">
        <v>57230</v>
      </c>
      <c r="E13" s="762">
        <v>0</v>
      </c>
      <c r="F13" s="762">
        <v>0</v>
      </c>
      <c r="G13" s="762">
        <v>0</v>
      </c>
      <c r="H13" s="762">
        <v>0</v>
      </c>
      <c r="I13" s="761">
        <f t="shared" si="1"/>
        <v>260437</v>
      </c>
    </row>
    <row r="14" spans="1:10" s="232" customFormat="1" ht="17.100000000000001" customHeight="1" thickBot="1" x14ac:dyDescent="0.25">
      <c r="A14" s="750"/>
      <c r="B14" s="781" t="s">
        <v>561</v>
      </c>
      <c r="C14" s="759">
        <f t="shared" si="0"/>
        <v>93373</v>
      </c>
      <c r="D14" s="759">
        <v>-21652</v>
      </c>
      <c r="E14" s="759">
        <v>0</v>
      </c>
      <c r="F14" s="759">
        <v>0</v>
      </c>
      <c r="G14" s="759">
        <v>0</v>
      </c>
      <c r="H14" s="759">
        <v>29</v>
      </c>
      <c r="I14" s="758">
        <f t="shared" si="1"/>
        <v>71750</v>
      </c>
    </row>
    <row r="15" spans="1:10" s="232" customFormat="1" ht="17.100000000000001" customHeight="1" thickBot="1" x14ac:dyDescent="0.25">
      <c r="A15" s="750"/>
      <c r="B15" s="780" t="s">
        <v>560</v>
      </c>
      <c r="C15" s="756">
        <f t="shared" ref="C15:I15" si="2">SUM(C5:C14)</f>
        <v>778252</v>
      </c>
      <c r="D15" s="756">
        <f t="shared" si="2"/>
        <v>65208</v>
      </c>
      <c r="E15" s="756">
        <f t="shared" si="2"/>
        <v>16120</v>
      </c>
      <c r="F15" s="756">
        <f t="shared" si="2"/>
        <v>0</v>
      </c>
      <c r="G15" s="756">
        <f t="shared" si="2"/>
        <v>0</v>
      </c>
      <c r="H15" s="756">
        <f t="shared" si="2"/>
        <v>29</v>
      </c>
      <c r="I15" s="418">
        <f t="shared" si="2"/>
        <v>859609</v>
      </c>
    </row>
    <row r="16" spans="1:10" s="232" customFormat="1" ht="11.25" x14ac:dyDescent="0.2">
      <c r="A16" s="750"/>
      <c r="B16" s="754"/>
      <c r="C16" s="774"/>
      <c r="D16" s="753"/>
      <c r="E16" s="752"/>
      <c r="F16" s="752"/>
      <c r="G16" s="752"/>
      <c r="H16" s="752"/>
      <c r="I16" s="773"/>
    </row>
    <row r="17" spans="1:10" s="232" customFormat="1" ht="11.25" x14ac:dyDescent="0.2">
      <c r="A17" s="750"/>
      <c r="B17" s="754"/>
      <c r="C17" s="774"/>
      <c r="D17" s="753"/>
      <c r="E17" s="752"/>
      <c r="F17" s="752"/>
      <c r="G17" s="752"/>
      <c r="H17" s="752"/>
      <c r="I17" s="773"/>
    </row>
    <row r="18" spans="1:10" s="232" customFormat="1" x14ac:dyDescent="0.2">
      <c r="A18" s="750"/>
      <c r="B18" s="381"/>
      <c r="C18" s="748"/>
      <c r="D18" s="748"/>
      <c r="E18" s="748"/>
      <c r="F18" s="748"/>
      <c r="G18" s="748"/>
      <c r="H18" s="748"/>
      <c r="I18" s="748"/>
    </row>
    <row r="19" spans="1:10" s="232" customFormat="1" ht="45" customHeight="1" x14ac:dyDescent="0.2">
      <c r="A19" s="750"/>
      <c r="B19" s="552" t="s">
        <v>562</v>
      </c>
      <c r="C19" s="770" t="s">
        <v>555</v>
      </c>
      <c r="D19" s="770" t="s">
        <v>554</v>
      </c>
      <c r="E19" s="770" t="s">
        <v>553</v>
      </c>
      <c r="F19" s="770" t="s">
        <v>552</v>
      </c>
      <c r="G19" s="770" t="s">
        <v>9</v>
      </c>
      <c r="H19" s="770" t="s">
        <v>551</v>
      </c>
      <c r="I19" s="769" t="s">
        <v>550</v>
      </c>
      <c r="J19" s="496"/>
    </row>
    <row r="20" spans="1:10" s="232" customFormat="1" ht="17.100000000000001" customHeight="1" x14ac:dyDescent="0.2">
      <c r="A20" s="750"/>
      <c r="B20" s="768" t="s">
        <v>544</v>
      </c>
      <c r="C20" s="767">
        <v>76855</v>
      </c>
      <c r="D20" s="767">
        <v>12255</v>
      </c>
      <c r="E20" s="767">
        <v>0</v>
      </c>
      <c r="F20" s="767"/>
      <c r="G20" s="767"/>
      <c r="H20" s="767">
        <v>13359</v>
      </c>
      <c r="I20" s="766">
        <f t="shared" ref="I20:I29" si="3">SUM(C20:H20)</f>
        <v>102469</v>
      </c>
      <c r="J20" s="496"/>
    </row>
    <row r="21" spans="1:10" s="232" customFormat="1" ht="17.100000000000001" customHeight="1" x14ac:dyDescent="0.2">
      <c r="A21" s="750"/>
      <c r="B21" s="765" t="s">
        <v>543</v>
      </c>
      <c r="C21" s="762">
        <v>2599</v>
      </c>
      <c r="D21" s="762">
        <v>-1758</v>
      </c>
      <c r="E21" s="762">
        <v>0</v>
      </c>
      <c r="F21" s="762"/>
      <c r="G21" s="762"/>
      <c r="H21" s="762">
        <v>0</v>
      </c>
      <c r="I21" s="761">
        <f t="shared" si="3"/>
        <v>841</v>
      </c>
      <c r="J21" s="496"/>
    </row>
    <row r="22" spans="1:10" s="232" customFormat="1" ht="17.100000000000001" customHeight="1" x14ac:dyDescent="0.2">
      <c r="A22" s="750"/>
      <c r="B22" s="765" t="s">
        <v>542</v>
      </c>
      <c r="C22" s="762">
        <v>24020</v>
      </c>
      <c r="D22" s="762">
        <v>15588</v>
      </c>
      <c r="E22" s="762">
        <v>4248</v>
      </c>
      <c r="F22" s="762"/>
      <c r="G22" s="762"/>
      <c r="H22" s="762">
        <v>0</v>
      </c>
      <c r="I22" s="761">
        <f t="shared" si="3"/>
        <v>43856</v>
      </c>
      <c r="J22" s="496"/>
    </row>
    <row r="23" spans="1:10" s="232" customFormat="1" ht="17.100000000000001" customHeight="1" x14ac:dyDescent="0.2">
      <c r="A23" s="750"/>
      <c r="B23" s="764" t="s">
        <v>541</v>
      </c>
      <c r="C23" s="762">
        <v>234186</v>
      </c>
      <c r="D23" s="762">
        <v>-5487</v>
      </c>
      <c r="E23" s="762">
        <v>0</v>
      </c>
      <c r="F23" s="762"/>
      <c r="G23" s="762"/>
      <c r="H23" s="762">
        <v>0</v>
      </c>
      <c r="I23" s="761">
        <f t="shared" si="3"/>
        <v>228699</v>
      </c>
      <c r="J23" s="496"/>
    </row>
    <row r="24" spans="1:10" s="232" customFormat="1" ht="17.100000000000001" customHeight="1" x14ac:dyDescent="0.2">
      <c r="A24" s="750"/>
      <c r="B24" s="764" t="s">
        <v>540</v>
      </c>
      <c r="C24" s="762">
        <v>36300</v>
      </c>
      <c r="D24" s="762">
        <v>-1415</v>
      </c>
      <c r="E24" s="762">
        <v>373</v>
      </c>
      <c r="F24" s="762"/>
      <c r="G24" s="762"/>
      <c r="H24" s="762">
        <v>0</v>
      </c>
      <c r="I24" s="761">
        <f t="shared" si="3"/>
        <v>35258</v>
      </c>
      <c r="J24" s="496"/>
    </row>
    <row r="25" spans="1:10" s="232" customFormat="1" ht="17.100000000000001" customHeight="1" x14ac:dyDescent="0.2">
      <c r="A25" s="750"/>
      <c r="B25" s="763" t="s">
        <v>539</v>
      </c>
      <c r="C25" s="762">
        <v>8848</v>
      </c>
      <c r="D25" s="762">
        <v>34615</v>
      </c>
      <c r="E25" s="762">
        <v>0</v>
      </c>
      <c r="F25" s="762"/>
      <c r="G25" s="762"/>
      <c r="H25" s="762">
        <v>0</v>
      </c>
      <c r="I25" s="761">
        <f t="shared" si="3"/>
        <v>43463</v>
      </c>
      <c r="J25" s="496"/>
    </row>
    <row r="26" spans="1:10" s="232" customFormat="1" ht="17.100000000000001" customHeight="1" x14ac:dyDescent="0.2">
      <c r="A26" s="750"/>
      <c r="B26" s="783" t="s">
        <v>538</v>
      </c>
      <c r="C26" s="762">
        <v>25635</v>
      </c>
      <c r="D26" s="762">
        <v>1188</v>
      </c>
      <c r="E26" s="762">
        <v>0</v>
      </c>
      <c r="F26" s="762"/>
      <c r="G26" s="762"/>
      <c r="H26" s="762">
        <v>0</v>
      </c>
      <c r="I26" s="761">
        <f t="shared" si="3"/>
        <v>26823</v>
      </c>
    </row>
    <row r="27" spans="1:10" s="232" customFormat="1" ht="17.100000000000001" customHeight="1" x14ac:dyDescent="0.2">
      <c r="A27" s="750"/>
      <c r="B27" s="782" t="s">
        <v>534</v>
      </c>
      <c r="C27" s="762">
        <v>6445</v>
      </c>
      <c r="D27" s="762">
        <v>-6182</v>
      </c>
      <c r="E27" s="762">
        <v>0</v>
      </c>
      <c r="F27" s="762"/>
      <c r="G27" s="762"/>
      <c r="H27" s="762">
        <v>0</v>
      </c>
      <c r="I27" s="761">
        <f t="shared" si="3"/>
        <v>263</v>
      </c>
    </row>
    <row r="28" spans="1:10" s="232" customFormat="1" ht="17.100000000000001" customHeight="1" x14ac:dyDescent="0.2">
      <c r="A28" s="750"/>
      <c r="B28" s="782" t="s">
        <v>535</v>
      </c>
      <c r="C28" s="762">
        <v>157804</v>
      </c>
      <c r="D28" s="762">
        <v>45403</v>
      </c>
      <c r="E28" s="762">
        <v>0</v>
      </c>
      <c r="F28" s="762"/>
      <c r="G28" s="762"/>
      <c r="H28" s="762">
        <v>0</v>
      </c>
      <c r="I28" s="761">
        <f t="shared" si="3"/>
        <v>203207</v>
      </c>
    </row>
    <row r="29" spans="1:10" s="232" customFormat="1" ht="17.100000000000001" customHeight="1" thickBot="1" x14ac:dyDescent="0.25">
      <c r="A29" s="750"/>
      <c r="B29" s="781" t="s">
        <v>561</v>
      </c>
      <c r="C29" s="759">
        <v>72862</v>
      </c>
      <c r="D29" s="759">
        <v>18679</v>
      </c>
      <c r="E29" s="759">
        <v>0</v>
      </c>
      <c r="F29" s="759"/>
      <c r="G29" s="759"/>
      <c r="H29" s="759">
        <v>1832</v>
      </c>
      <c r="I29" s="758">
        <f t="shared" si="3"/>
        <v>93373</v>
      </c>
    </row>
    <row r="30" spans="1:10" s="232" customFormat="1" ht="17.100000000000001" customHeight="1" thickBot="1" x14ac:dyDescent="0.25">
      <c r="A30" s="750"/>
      <c r="B30" s="780" t="s">
        <v>560</v>
      </c>
      <c r="C30" s="756">
        <f t="shared" ref="C30:I30" si="4">SUM(C20:C29)</f>
        <v>645554</v>
      </c>
      <c r="D30" s="756">
        <f t="shared" si="4"/>
        <v>112886</v>
      </c>
      <c r="E30" s="756">
        <f t="shared" si="4"/>
        <v>4621</v>
      </c>
      <c r="F30" s="756">
        <f t="shared" si="4"/>
        <v>0</v>
      </c>
      <c r="G30" s="756">
        <f t="shared" si="4"/>
        <v>0</v>
      </c>
      <c r="H30" s="756">
        <f t="shared" si="4"/>
        <v>15191</v>
      </c>
      <c r="I30" s="418">
        <f t="shared" si="4"/>
        <v>778252</v>
      </c>
    </row>
    <row r="31" spans="1:10" s="232" customFormat="1" ht="11.25" x14ac:dyDescent="0.2">
      <c r="A31" s="750"/>
      <c r="B31" s="779"/>
      <c r="C31" s="778"/>
      <c r="D31" s="777"/>
      <c r="E31" s="776"/>
      <c r="F31" s="776"/>
      <c r="G31" s="776"/>
      <c r="H31" s="776"/>
      <c r="I31" s="775"/>
    </row>
    <row r="32" spans="1:10" s="232" customFormat="1" ht="11.25" x14ac:dyDescent="0.2">
      <c r="A32" s="750"/>
      <c r="B32" s="754"/>
      <c r="C32" s="774"/>
      <c r="D32" s="753"/>
      <c r="E32" s="752"/>
      <c r="F32" s="752"/>
      <c r="G32" s="752"/>
      <c r="H32" s="752"/>
      <c r="I32" s="773"/>
    </row>
    <row r="33" spans="1:9" s="232" customFormat="1" x14ac:dyDescent="0.2">
      <c r="A33" s="750"/>
      <c r="B33" s="751"/>
      <c r="C33" s="380"/>
      <c r="D33" s="349"/>
      <c r="I33" s="772"/>
    </row>
    <row r="34" spans="1:9" s="232" customFormat="1" x14ac:dyDescent="0.2">
      <c r="A34" s="750"/>
      <c r="B34" s="771" t="s">
        <v>559</v>
      </c>
      <c r="C34" s="350"/>
      <c r="D34" s="349"/>
    </row>
    <row r="35" spans="1:9" s="232" customFormat="1" x14ac:dyDescent="0.2">
      <c r="A35" s="750"/>
      <c r="B35" s="751"/>
      <c r="C35" s="349"/>
      <c r="D35" s="349"/>
    </row>
    <row r="36" spans="1:9" s="232" customFormat="1" ht="45" customHeight="1" x14ac:dyDescent="0.2">
      <c r="A36" s="750"/>
      <c r="B36" s="552" t="s">
        <v>556</v>
      </c>
      <c r="C36" s="770" t="s">
        <v>558</v>
      </c>
      <c r="D36" s="770" t="s">
        <v>554</v>
      </c>
      <c r="E36" s="770" t="s">
        <v>553</v>
      </c>
      <c r="F36" s="770" t="s">
        <v>552</v>
      </c>
      <c r="G36" s="770" t="s">
        <v>9</v>
      </c>
      <c r="H36" s="770" t="s">
        <v>551</v>
      </c>
      <c r="I36" s="769" t="s">
        <v>557</v>
      </c>
    </row>
    <row r="37" spans="1:9" s="232" customFormat="1" ht="17.100000000000001" customHeight="1" x14ac:dyDescent="0.2">
      <c r="A37" s="750"/>
      <c r="B37" s="768" t="s">
        <v>544</v>
      </c>
      <c r="C37" s="767">
        <f t="shared" ref="C37:C43" si="5">I49</f>
        <v>-76858</v>
      </c>
      <c r="D37" s="767">
        <v>-3834</v>
      </c>
      <c r="E37" s="767">
        <v>0</v>
      </c>
      <c r="F37" s="767"/>
      <c r="G37" s="767"/>
      <c r="H37" s="767">
        <v>0</v>
      </c>
      <c r="I37" s="766">
        <f t="shared" ref="I37:I44" si="6">SUM(C37:H37)</f>
        <v>-80692</v>
      </c>
    </row>
    <row r="38" spans="1:9" s="232" customFormat="1" ht="17.100000000000001" customHeight="1" x14ac:dyDescent="0.2">
      <c r="A38" s="750"/>
      <c r="B38" s="765" t="s">
        <v>543</v>
      </c>
      <c r="C38" s="762">
        <f t="shared" si="5"/>
        <v>-42259</v>
      </c>
      <c r="D38" s="762">
        <v>-1031</v>
      </c>
      <c r="E38" s="762">
        <v>564</v>
      </c>
      <c r="F38" s="762"/>
      <c r="G38" s="762"/>
      <c r="H38" s="762">
        <v>0</v>
      </c>
      <c r="I38" s="761">
        <f t="shared" si="6"/>
        <v>-42726</v>
      </c>
    </row>
    <row r="39" spans="1:9" s="232" customFormat="1" ht="17.100000000000001" customHeight="1" x14ac:dyDescent="0.2">
      <c r="A39" s="750"/>
      <c r="B39" s="765" t="s">
        <v>542</v>
      </c>
      <c r="C39" s="762">
        <f t="shared" si="5"/>
        <v>-152689</v>
      </c>
      <c r="D39" s="762">
        <v>-1750</v>
      </c>
      <c r="E39" s="762">
        <v>87829</v>
      </c>
      <c r="F39" s="762"/>
      <c r="G39" s="762"/>
      <c r="H39" s="762">
        <v>0</v>
      </c>
      <c r="I39" s="761">
        <f t="shared" si="6"/>
        <v>-66610</v>
      </c>
    </row>
    <row r="40" spans="1:9" s="232" customFormat="1" ht="17.100000000000001" customHeight="1" x14ac:dyDescent="0.2">
      <c r="A40" s="750"/>
      <c r="B40" s="764" t="s">
        <v>537</v>
      </c>
      <c r="C40" s="762">
        <f t="shared" si="5"/>
        <v>-38812</v>
      </c>
      <c r="D40" s="762">
        <v>17916</v>
      </c>
      <c r="E40" s="762">
        <v>0</v>
      </c>
      <c r="F40" s="762"/>
      <c r="G40" s="762"/>
      <c r="H40" s="762">
        <v>0</v>
      </c>
      <c r="I40" s="761">
        <f t="shared" si="6"/>
        <v>-20896</v>
      </c>
    </row>
    <row r="41" spans="1:9" s="232" customFormat="1" ht="27" customHeight="1" x14ac:dyDescent="0.2">
      <c r="A41" s="750"/>
      <c r="B41" s="764" t="s">
        <v>536</v>
      </c>
      <c r="C41" s="762">
        <f t="shared" si="5"/>
        <v>-50089</v>
      </c>
      <c r="D41" s="762">
        <v>1729</v>
      </c>
      <c r="E41" s="762">
        <v>0</v>
      </c>
      <c r="F41" s="762"/>
      <c r="G41" s="762"/>
      <c r="H41" s="762">
        <v>0</v>
      </c>
      <c r="I41" s="761">
        <f t="shared" si="6"/>
        <v>-48360</v>
      </c>
    </row>
    <row r="42" spans="1:9" s="232" customFormat="1" ht="27" customHeight="1" x14ac:dyDescent="0.2">
      <c r="A42" s="750"/>
      <c r="B42" s="763" t="s">
        <v>549</v>
      </c>
      <c r="C42" s="762">
        <f t="shared" si="5"/>
        <v>-18657</v>
      </c>
      <c r="D42" s="762">
        <v>0</v>
      </c>
      <c r="E42" s="762">
        <v>0</v>
      </c>
      <c r="F42" s="762"/>
      <c r="G42" s="762"/>
      <c r="H42" s="762">
        <v>0</v>
      </c>
      <c r="I42" s="761">
        <f t="shared" si="6"/>
        <v>-18657</v>
      </c>
    </row>
    <row r="43" spans="1:9" s="232" customFormat="1" ht="17.100000000000001" customHeight="1" thickBot="1" x14ac:dyDescent="0.25">
      <c r="A43" s="750"/>
      <c r="B43" s="760" t="s">
        <v>548</v>
      </c>
      <c r="C43" s="759">
        <f t="shared" si="5"/>
        <v>-33781</v>
      </c>
      <c r="D43" s="759">
        <v>-8343</v>
      </c>
      <c r="E43" s="759">
        <v>0</v>
      </c>
      <c r="F43" s="759"/>
      <c r="G43" s="759"/>
      <c r="H43" s="759">
        <v>4</v>
      </c>
      <c r="I43" s="758">
        <f t="shared" si="6"/>
        <v>-42120</v>
      </c>
    </row>
    <row r="44" spans="1:9" s="232" customFormat="1" ht="17.100000000000001" customHeight="1" thickBot="1" x14ac:dyDescent="0.25">
      <c r="A44" s="750"/>
      <c r="B44" s="757" t="s">
        <v>547</v>
      </c>
      <c r="C44" s="756">
        <f t="shared" ref="C44:H44" si="7">SUM(C37:C43)</f>
        <v>-413145</v>
      </c>
      <c r="D44" s="756">
        <f t="shared" si="7"/>
        <v>4687</v>
      </c>
      <c r="E44" s="756">
        <f t="shared" si="7"/>
        <v>88393</v>
      </c>
      <c r="F44" s="756">
        <f t="shared" si="7"/>
        <v>0</v>
      </c>
      <c r="G44" s="756">
        <f t="shared" si="7"/>
        <v>0</v>
      </c>
      <c r="H44" s="756">
        <f t="shared" si="7"/>
        <v>4</v>
      </c>
      <c r="I44" s="755">
        <f t="shared" si="6"/>
        <v>-320061</v>
      </c>
    </row>
    <row r="45" spans="1:9" s="232" customFormat="1" ht="11.25" x14ac:dyDescent="0.2">
      <c r="A45" s="750"/>
      <c r="B45" s="754"/>
      <c r="C45" s="753"/>
      <c r="D45" s="753"/>
      <c r="E45" s="752"/>
      <c r="F45" s="752"/>
      <c r="G45" s="752"/>
      <c r="H45" s="752"/>
      <c r="I45" s="752"/>
    </row>
    <row r="46" spans="1:9" s="232" customFormat="1" x14ac:dyDescent="0.2">
      <c r="A46" s="750"/>
      <c r="B46" s="751"/>
      <c r="C46" s="349"/>
      <c r="D46" s="349"/>
    </row>
    <row r="47" spans="1:9" s="232" customFormat="1" x14ac:dyDescent="0.2">
      <c r="A47" s="750"/>
      <c r="B47" s="381"/>
      <c r="C47" s="748"/>
      <c r="D47" s="748"/>
      <c r="E47" s="748"/>
      <c r="F47" s="748"/>
      <c r="G47" s="748"/>
      <c r="H47" s="748"/>
      <c r="I47" s="748"/>
    </row>
    <row r="48" spans="1:9" s="232" customFormat="1" ht="45" customHeight="1" x14ac:dyDescent="0.2">
      <c r="A48" s="750"/>
      <c r="B48" s="552" t="s">
        <v>556</v>
      </c>
      <c r="C48" s="770" t="s">
        <v>555</v>
      </c>
      <c r="D48" s="770" t="s">
        <v>554</v>
      </c>
      <c r="E48" s="770" t="s">
        <v>553</v>
      </c>
      <c r="F48" s="770" t="s">
        <v>552</v>
      </c>
      <c r="G48" s="770" t="s">
        <v>9</v>
      </c>
      <c r="H48" s="770" t="s">
        <v>551</v>
      </c>
      <c r="I48" s="769" t="s">
        <v>550</v>
      </c>
    </row>
    <row r="49" spans="1:9" s="232" customFormat="1" ht="17.100000000000001" customHeight="1" x14ac:dyDescent="0.2">
      <c r="A49" s="750"/>
      <c r="B49" s="768" t="s">
        <v>544</v>
      </c>
      <c r="C49" s="767">
        <v>-57998</v>
      </c>
      <c r="D49" s="767">
        <v>-5507</v>
      </c>
      <c r="E49" s="767">
        <v>0</v>
      </c>
      <c r="F49" s="767"/>
      <c r="G49" s="767"/>
      <c r="H49" s="767">
        <v>-13353</v>
      </c>
      <c r="I49" s="766">
        <f t="shared" ref="I49:I56" si="8">SUM(C49:H49)</f>
        <v>-76858</v>
      </c>
    </row>
    <row r="50" spans="1:9" s="232" customFormat="1" ht="15" customHeight="1" x14ac:dyDescent="0.2">
      <c r="A50" s="750"/>
      <c r="B50" s="765" t="s">
        <v>543</v>
      </c>
      <c r="C50" s="762">
        <v>-32125</v>
      </c>
      <c r="D50" s="762">
        <v>-10884</v>
      </c>
      <c r="E50" s="762">
        <v>750</v>
      </c>
      <c r="F50" s="762"/>
      <c r="G50" s="762"/>
      <c r="H50" s="762">
        <v>0</v>
      </c>
      <c r="I50" s="761">
        <f t="shared" si="8"/>
        <v>-42259</v>
      </c>
    </row>
    <row r="51" spans="1:9" s="232" customFormat="1" ht="15" customHeight="1" x14ac:dyDescent="0.2">
      <c r="A51" s="750"/>
      <c r="B51" s="765" t="s">
        <v>542</v>
      </c>
      <c r="C51" s="762">
        <v>-158373</v>
      </c>
      <c r="D51" s="762">
        <v>5910</v>
      </c>
      <c r="E51" s="762">
        <v>-226</v>
      </c>
      <c r="F51" s="762"/>
      <c r="G51" s="762"/>
      <c r="H51" s="762">
        <v>0</v>
      </c>
      <c r="I51" s="761">
        <f t="shared" si="8"/>
        <v>-152689</v>
      </c>
    </row>
    <row r="52" spans="1:9" s="232" customFormat="1" ht="17.100000000000001" customHeight="1" x14ac:dyDescent="0.2">
      <c r="A52" s="750"/>
      <c r="B52" s="764" t="s">
        <v>537</v>
      </c>
      <c r="C52" s="762">
        <v>-40611</v>
      </c>
      <c r="D52" s="762">
        <v>1799</v>
      </c>
      <c r="E52" s="762">
        <v>0</v>
      </c>
      <c r="F52" s="762"/>
      <c r="G52" s="762"/>
      <c r="H52" s="762">
        <v>0</v>
      </c>
      <c r="I52" s="761">
        <f t="shared" si="8"/>
        <v>-38812</v>
      </c>
    </row>
    <row r="53" spans="1:9" s="232" customFormat="1" ht="24.95" customHeight="1" x14ac:dyDescent="0.2">
      <c r="A53" s="750"/>
      <c r="B53" s="764" t="s">
        <v>536</v>
      </c>
      <c r="C53" s="762">
        <v>-46845</v>
      </c>
      <c r="D53" s="762">
        <v>-3244</v>
      </c>
      <c r="E53" s="762">
        <v>0</v>
      </c>
      <c r="F53" s="762"/>
      <c r="G53" s="762"/>
      <c r="H53" s="762">
        <v>0</v>
      </c>
      <c r="I53" s="761">
        <f t="shared" si="8"/>
        <v>-50089</v>
      </c>
    </row>
    <row r="54" spans="1:9" s="232" customFormat="1" ht="24.95" customHeight="1" x14ac:dyDescent="0.2">
      <c r="A54" s="750"/>
      <c r="B54" s="763" t="s">
        <v>549</v>
      </c>
      <c r="C54" s="762">
        <v>-18657</v>
      </c>
      <c r="D54" s="762">
        <v>0</v>
      </c>
      <c r="E54" s="762">
        <v>0</v>
      </c>
      <c r="F54" s="762"/>
      <c r="G54" s="762"/>
      <c r="H54" s="762">
        <v>0</v>
      </c>
      <c r="I54" s="761">
        <f t="shared" si="8"/>
        <v>-18657</v>
      </c>
    </row>
    <row r="55" spans="1:9" s="232" customFormat="1" ht="17.100000000000001" customHeight="1" thickBot="1" x14ac:dyDescent="0.25">
      <c r="A55" s="750"/>
      <c r="B55" s="760" t="s">
        <v>548</v>
      </c>
      <c r="C55" s="759">
        <v>-28314</v>
      </c>
      <c r="D55" s="759">
        <v>-5961</v>
      </c>
      <c r="E55" s="759">
        <v>0</v>
      </c>
      <c r="F55" s="759"/>
      <c r="G55" s="759"/>
      <c r="H55" s="759">
        <v>494</v>
      </c>
      <c r="I55" s="758">
        <f t="shared" si="8"/>
        <v>-33781</v>
      </c>
    </row>
    <row r="56" spans="1:9" s="232" customFormat="1" ht="17.100000000000001" customHeight="1" thickBot="1" x14ac:dyDescent="0.25">
      <c r="A56" s="750"/>
      <c r="B56" s="757" t="s">
        <v>547</v>
      </c>
      <c r="C56" s="756">
        <f t="shared" ref="C56:H56" si="9">SUM(C49:C55)</f>
        <v>-382923</v>
      </c>
      <c r="D56" s="756">
        <f t="shared" si="9"/>
        <v>-17887</v>
      </c>
      <c r="E56" s="756">
        <f t="shared" si="9"/>
        <v>524</v>
      </c>
      <c r="F56" s="756">
        <f t="shared" si="9"/>
        <v>0</v>
      </c>
      <c r="G56" s="756">
        <f t="shared" si="9"/>
        <v>0</v>
      </c>
      <c r="H56" s="756">
        <f t="shared" si="9"/>
        <v>-12859</v>
      </c>
      <c r="I56" s="755">
        <f t="shared" si="8"/>
        <v>-413145</v>
      </c>
    </row>
    <row r="57" spans="1:9" s="232" customFormat="1" ht="11.25" x14ac:dyDescent="0.2">
      <c r="A57" s="750"/>
      <c r="B57" s="754"/>
      <c r="C57" s="753"/>
      <c r="D57" s="753"/>
      <c r="E57" s="752"/>
      <c r="F57" s="752"/>
      <c r="G57" s="752"/>
      <c r="H57" s="752"/>
      <c r="I57" s="752"/>
    </row>
    <row r="58" spans="1:9" s="232" customFormat="1" x14ac:dyDescent="0.2">
      <c r="A58" s="750"/>
      <c r="B58" s="751"/>
      <c r="C58" s="349"/>
      <c r="D58" s="349"/>
    </row>
    <row r="59" spans="1:9" s="232" customFormat="1" x14ac:dyDescent="0.2">
      <c r="A59" s="750"/>
      <c r="B59" s="381"/>
      <c r="C59" s="748"/>
      <c r="D59" s="748"/>
      <c r="E59" s="748"/>
      <c r="F59" s="748"/>
      <c r="G59" s="748"/>
      <c r="H59" s="748"/>
      <c r="I59" s="748"/>
    </row>
    <row r="60" spans="1:9" s="232" customFormat="1" x14ac:dyDescent="0.2">
      <c r="A60" s="750"/>
      <c r="B60" s="393" t="s">
        <v>546</v>
      </c>
      <c r="C60" s="749"/>
      <c r="D60" s="748"/>
      <c r="E60" s="748"/>
      <c r="F60" s="748"/>
      <c r="G60" s="748"/>
      <c r="H60" s="748"/>
      <c r="I60" s="748"/>
    </row>
    <row r="61" spans="1:9" x14ac:dyDescent="0.2">
      <c r="B61" s="745"/>
      <c r="C61" s="407"/>
      <c r="D61" s="407"/>
    </row>
    <row r="62" spans="1:9" ht="15" customHeight="1" x14ac:dyDescent="0.2">
      <c r="B62" s="747" t="s">
        <v>545</v>
      </c>
      <c r="C62" s="521" t="s">
        <v>5</v>
      </c>
      <c r="D62" s="520" t="s">
        <v>4</v>
      </c>
      <c r="E62" s="483"/>
      <c r="F62" s="483"/>
      <c r="G62" s="483"/>
      <c r="H62" s="483"/>
      <c r="I62" s="483"/>
    </row>
    <row r="63" spans="1:9" ht="15" customHeight="1" x14ac:dyDescent="0.2">
      <c r="B63" s="268" t="s">
        <v>544</v>
      </c>
      <c r="C63" s="503">
        <v>3173</v>
      </c>
      <c r="D63" s="460">
        <v>6748</v>
      </c>
    </row>
    <row r="64" spans="1:9" ht="15" customHeight="1" x14ac:dyDescent="0.2">
      <c r="B64" s="222" t="s">
        <v>543</v>
      </c>
      <c r="C64" s="501">
        <v>156</v>
      </c>
      <c r="D64" s="228">
        <v>-12642</v>
      </c>
    </row>
    <row r="65" spans="2:4" ht="15" customHeight="1" x14ac:dyDescent="0.2">
      <c r="B65" s="222" t="s">
        <v>542</v>
      </c>
      <c r="C65" s="501">
        <v>-16871</v>
      </c>
      <c r="D65" s="228">
        <v>21498</v>
      </c>
    </row>
    <row r="66" spans="2:4" ht="15" customHeight="1" x14ac:dyDescent="0.2">
      <c r="B66" s="222" t="s">
        <v>541</v>
      </c>
      <c r="C66" s="501">
        <v>46113</v>
      </c>
      <c r="D66" s="228">
        <v>-5487</v>
      </c>
    </row>
    <row r="67" spans="2:4" ht="15" customHeight="1" x14ac:dyDescent="0.2">
      <c r="B67" s="222" t="s">
        <v>540</v>
      </c>
      <c r="C67" s="501">
        <v>887</v>
      </c>
      <c r="D67" s="228">
        <v>-1415</v>
      </c>
    </row>
    <row r="68" spans="2:4" ht="15" customHeight="1" x14ac:dyDescent="0.2">
      <c r="B68" s="222" t="s">
        <v>539</v>
      </c>
      <c r="C68" s="501">
        <v>-10224</v>
      </c>
      <c r="D68" s="228">
        <v>34615</v>
      </c>
    </row>
    <row r="69" spans="2:4" ht="15" customHeight="1" x14ac:dyDescent="0.2">
      <c r="B69" s="222" t="s">
        <v>538</v>
      </c>
      <c r="C69" s="501">
        <v>-153</v>
      </c>
      <c r="D69" s="228">
        <v>1188</v>
      </c>
    </row>
    <row r="70" spans="2:4" ht="15" customHeight="1" x14ac:dyDescent="0.2">
      <c r="B70" s="222" t="s">
        <v>537</v>
      </c>
      <c r="C70" s="501">
        <v>17916</v>
      </c>
      <c r="D70" s="228">
        <v>1799</v>
      </c>
    </row>
    <row r="71" spans="2:4" ht="24.95" customHeight="1" x14ac:dyDescent="0.2">
      <c r="B71" s="222" t="s">
        <v>536</v>
      </c>
      <c r="C71" s="501">
        <v>1729</v>
      </c>
      <c r="D71" s="228">
        <v>-3244</v>
      </c>
    </row>
    <row r="72" spans="2:4" ht="15" customHeight="1" x14ac:dyDescent="0.2">
      <c r="B72" s="222" t="s">
        <v>535</v>
      </c>
      <c r="C72" s="501">
        <v>57230</v>
      </c>
      <c r="D72" s="228">
        <v>45403</v>
      </c>
    </row>
    <row r="73" spans="2:4" ht="15" customHeight="1" x14ac:dyDescent="0.2">
      <c r="B73" s="222" t="s">
        <v>534</v>
      </c>
      <c r="C73" s="229">
        <v>-66</v>
      </c>
      <c r="D73" s="228">
        <v>-6182</v>
      </c>
    </row>
    <row r="74" spans="2:4" ht="15" customHeight="1" thickBot="1" x14ac:dyDescent="0.25">
      <c r="B74" s="271" t="s">
        <v>533</v>
      </c>
      <c r="C74" s="457">
        <v>-29995</v>
      </c>
      <c r="D74" s="456">
        <v>12718</v>
      </c>
    </row>
    <row r="75" spans="2:4" ht="21.75" thickBot="1" x14ac:dyDescent="0.25">
      <c r="B75" s="455" t="s">
        <v>532</v>
      </c>
      <c r="C75" s="454">
        <f>SUM(C63:C74)</f>
        <v>69895</v>
      </c>
      <c r="D75" s="453">
        <f>SUM(D63:D74)</f>
        <v>94999</v>
      </c>
    </row>
    <row r="76" spans="2:4" x14ac:dyDescent="0.2">
      <c r="C76" s="407"/>
      <c r="D76" s="407"/>
    </row>
    <row r="77" spans="2:4" x14ac:dyDescent="0.2">
      <c r="B77" s="745"/>
      <c r="C77" s="746"/>
      <c r="D77" s="746"/>
    </row>
    <row r="78" spans="2:4" x14ac:dyDescent="0.2">
      <c r="B78" s="745"/>
      <c r="C78" s="744"/>
      <c r="D78" s="744"/>
    </row>
    <row r="79" spans="2:4" x14ac:dyDescent="0.2">
      <c r="C79" s="407"/>
      <c r="D79" s="407"/>
    </row>
    <row r="80" spans="2:4" x14ac:dyDescent="0.2">
      <c r="C80" s="407"/>
      <c r="D80" s="407"/>
    </row>
    <row r="81" spans="2:4" x14ac:dyDescent="0.2">
      <c r="B81" s="483"/>
      <c r="C81" s="407"/>
      <c r="D81" s="407"/>
    </row>
    <row r="82" spans="2:4" x14ac:dyDescent="0.2">
      <c r="C82" s="407"/>
      <c r="D82" s="407"/>
    </row>
    <row r="83" spans="2:4" x14ac:dyDescent="0.2">
      <c r="C83" s="407"/>
      <c r="D83" s="407"/>
    </row>
    <row r="84" spans="2:4" x14ac:dyDescent="0.2">
      <c r="C84" s="407"/>
      <c r="D84" s="407"/>
    </row>
    <row r="85" spans="2:4" x14ac:dyDescent="0.2">
      <c r="C85" s="407"/>
      <c r="D85" s="407"/>
    </row>
    <row r="86" spans="2:4" x14ac:dyDescent="0.2">
      <c r="C86" s="407"/>
      <c r="D86" s="407"/>
    </row>
    <row r="87" spans="2:4" x14ac:dyDescent="0.2">
      <c r="C87" s="407"/>
      <c r="D87" s="407"/>
    </row>
    <row r="88" spans="2:4" x14ac:dyDescent="0.2">
      <c r="C88" s="407"/>
      <c r="D88" s="407"/>
    </row>
    <row r="89" spans="2:4" x14ac:dyDescent="0.2">
      <c r="C89" s="407"/>
      <c r="D89" s="407"/>
    </row>
    <row r="90" spans="2:4" x14ac:dyDescent="0.2">
      <c r="C90" s="407"/>
      <c r="D90" s="407"/>
    </row>
    <row r="91" spans="2:4" x14ac:dyDescent="0.2">
      <c r="C91" s="407"/>
      <c r="D91" s="407"/>
    </row>
  </sheetData>
  <pageMargins left="0.26" right="0.4" top="0.46" bottom="0.5" header="0.5" footer="0.5"/>
  <pageSetup paperSize="9" scale="50" fitToHeight="2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149"/>
  <sheetViews>
    <sheetView workbookViewId="0">
      <selection activeCell="D35" sqref="D35"/>
    </sheetView>
  </sheetViews>
  <sheetFormatPr defaultRowHeight="10.5" x14ac:dyDescent="0.2"/>
  <cols>
    <col min="1" max="1" width="2.7109375" style="3" customWidth="1"/>
    <col min="2" max="2" width="46.7109375" style="23" customWidth="1"/>
    <col min="3" max="6" width="12.7109375" style="23" customWidth="1"/>
    <col min="7" max="16384" width="9.140625" style="22"/>
  </cols>
  <sheetData>
    <row r="1" spans="1:10" x14ac:dyDescent="0.2">
      <c r="B1" s="22"/>
      <c r="C1" s="22"/>
      <c r="D1" s="22"/>
      <c r="E1" s="22"/>
      <c r="F1" s="22"/>
    </row>
    <row r="2" spans="1:10" ht="31.5" customHeight="1" x14ac:dyDescent="0.2">
      <c r="A2" s="1001" t="s">
        <v>5</v>
      </c>
      <c r="B2" s="1002"/>
      <c r="C2" s="816" t="s">
        <v>338</v>
      </c>
      <c r="D2" s="816" t="s">
        <v>337</v>
      </c>
      <c r="E2" s="816" t="s">
        <v>336</v>
      </c>
      <c r="F2" s="816" t="s">
        <v>39</v>
      </c>
    </row>
    <row r="3" spans="1:10" ht="15" customHeight="1" thickBot="1" x14ac:dyDescent="0.25">
      <c r="A3" s="815" t="s">
        <v>586</v>
      </c>
      <c r="B3" s="814" t="s">
        <v>585</v>
      </c>
      <c r="C3" s="813">
        <f>C4+C15</f>
        <v>24003543</v>
      </c>
      <c r="D3" s="812">
        <f>D4+D15</f>
        <v>6019295</v>
      </c>
      <c r="E3" s="812">
        <f>E4+E15</f>
        <v>1270051</v>
      </c>
      <c r="F3" s="811">
        <f>F4+F15</f>
        <v>31292889</v>
      </c>
    </row>
    <row r="4" spans="1:10" ht="15" customHeight="1" thickBot="1" x14ac:dyDescent="0.25">
      <c r="A4" s="791"/>
      <c r="B4" s="810" t="s">
        <v>584</v>
      </c>
      <c r="C4" s="809">
        <f>C5+C9+C14</f>
        <v>22783597</v>
      </c>
      <c r="D4" s="789">
        <f>D5+D9+D14</f>
        <v>4915354</v>
      </c>
      <c r="E4" s="789">
        <f>E5+E9+E14</f>
        <v>982775</v>
      </c>
      <c r="F4" s="788">
        <f t="shared" ref="F4:F14" si="0">SUM(C4:E4)</f>
        <v>28681726</v>
      </c>
    </row>
    <row r="5" spans="1:10" ht="15" customHeight="1" thickBot="1" x14ac:dyDescent="0.25">
      <c r="A5" s="804"/>
      <c r="B5" s="803" t="s">
        <v>583</v>
      </c>
      <c r="C5" s="802">
        <f>SUM(C6:C8)</f>
        <v>19093104</v>
      </c>
      <c r="D5" s="802">
        <f>SUM(D6:D8)</f>
        <v>3200862</v>
      </c>
      <c r="E5" s="802">
        <f>SUM(E6:E8)</f>
        <v>505984</v>
      </c>
      <c r="F5" s="801">
        <f t="shared" si="0"/>
        <v>22799950</v>
      </c>
    </row>
    <row r="6" spans="1:10" ht="15" customHeight="1" x14ac:dyDescent="0.2">
      <c r="A6" s="808"/>
      <c r="B6" s="807" t="s">
        <v>582</v>
      </c>
      <c r="C6" s="806">
        <v>19065282</v>
      </c>
      <c r="D6" s="806">
        <v>3120595</v>
      </c>
      <c r="E6" s="806">
        <v>505984</v>
      </c>
      <c r="F6" s="805">
        <f t="shared" si="0"/>
        <v>22691861</v>
      </c>
    </row>
    <row r="7" spans="1:10" ht="15" customHeight="1" thickBot="1" x14ac:dyDescent="0.25">
      <c r="A7" s="800"/>
      <c r="B7" s="799" t="s">
        <v>581</v>
      </c>
      <c r="C7" s="798">
        <v>27822</v>
      </c>
      <c r="D7" s="798">
        <v>80267</v>
      </c>
      <c r="E7" s="798">
        <v>0</v>
      </c>
      <c r="F7" s="797">
        <f t="shared" si="0"/>
        <v>108089</v>
      </c>
    </row>
    <row r="8" spans="1:10" s="29" customFormat="1" ht="15" hidden="1" customHeight="1" thickBot="1" x14ac:dyDescent="0.25">
      <c r="A8" s="800"/>
      <c r="B8" s="799" t="s">
        <v>580</v>
      </c>
      <c r="C8" s="798">
        <v>0</v>
      </c>
      <c r="D8" s="798">
        <v>0</v>
      </c>
      <c r="E8" s="798">
        <v>0</v>
      </c>
      <c r="F8" s="797">
        <f t="shared" si="0"/>
        <v>0</v>
      </c>
      <c r="G8" s="22"/>
      <c r="H8" s="22"/>
      <c r="I8" s="22"/>
      <c r="J8" s="22"/>
    </row>
    <row r="9" spans="1:10" ht="15" customHeight="1" thickBot="1" x14ac:dyDescent="0.25">
      <c r="A9" s="804"/>
      <c r="B9" s="803" t="s">
        <v>579</v>
      </c>
      <c r="C9" s="802">
        <f>SUM(C10:C13)</f>
        <v>3690163</v>
      </c>
      <c r="D9" s="802">
        <f>SUM(D10:D13)</f>
        <v>1714492</v>
      </c>
      <c r="E9" s="802">
        <f>SUM(E10:E13)</f>
        <v>476791</v>
      </c>
      <c r="F9" s="801">
        <f t="shared" si="0"/>
        <v>5881446</v>
      </c>
    </row>
    <row r="10" spans="1:10" ht="15" customHeight="1" x14ac:dyDescent="0.2">
      <c r="A10" s="800"/>
      <c r="B10" s="799" t="s">
        <v>578</v>
      </c>
      <c r="C10" s="798">
        <v>27603</v>
      </c>
      <c r="D10" s="798">
        <v>0</v>
      </c>
      <c r="E10" s="798">
        <v>0</v>
      </c>
      <c r="F10" s="797">
        <f t="shared" si="0"/>
        <v>27603</v>
      </c>
    </row>
    <row r="11" spans="1:10" ht="15" customHeight="1" x14ac:dyDescent="0.2">
      <c r="A11" s="800"/>
      <c r="B11" s="799" t="s">
        <v>577</v>
      </c>
      <c r="C11" s="798">
        <v>3662560</v>
      </c>
      <c r="D11" s="798">
        <v>1714492</v>
      </c>
      <c r="E11" s="798">
        <v>476791</v>
      </c>
      <c r="F11" s="797">
        <f t="shared" si="0"/>
        <v>5853843</v>
      </c>
    </row>
    <row r="12" spans="1:10" ht="15" hidden="1" customHeight="1" x14ac:dyDescent="0.2">
      <c r="A12" s="800"/>
      <c r="B12" s="799" t="s">
        <v>576</v>
      </c>
      <c r="C12" s="798">
        <v>0</v>
      </c>
      <c r="D12" s="798">
        <v>0</v>
      </c>
      <c r="E12" s="798">
        <v>0</v>
      </c>
      <c r="F12" s="797">
        <f t="shared" si="0"/>
        <v>0</v>
      </c>
    </row>
    <row r="13" spans="1:10" ht="15" hidden="1" customHeight="1" x14ac:dyDescent="0.2">
      <c r="A13" s="800"/>
      <c r="B13" s="799" t="s">
        <v>575</v>
      </c>
      <c r="C13" s="798">
        <v>0</v>
      </c>
      <c r="D13" s="798">
        <v>0</v>
      </c>
      <c r="E13" s="798">
        <v>0</v>
      </c>
      <c r="F13" s="797">
        <f t="shared" si="0"/>
        <v>0</v>
      </c>
    </row>
    <row r="14" spans="1:10" ht="15" customHeight="1" thickBot="1" x14ac:dyDescent="0.25">
      <c r="A14" s="800"/>
      <c r="B14" s="799" t="s">
        <v>574</v>
      </c>
      <c r="C14" s="798">
        <v>330</v>
      </c>
      <c r="D14" s="798">
        <v>0</v>
      </c>
      <c r="E14" s="798">
        <v>0</v>
      </c>
      <c r="F14" s="797">
        <f t="shared" si="0"/>
        <v>330</v>
      </c>
    </row>
    <row r="15" spans="1:10" ht="15" customHeight="1" thickBot="1" x14ac:dyDescent="0.25">
      <c r="A15" s="791"/>
      <c r="B15" s="790" t="s">
        <v>573</v>
      </c>
      <c r="C15" s="789">
        <f>SUM(C16:C18)</f>
        <v>1219946</v>
      </c>
      <c r="D15" s="789">
        <f>SUM(D16:D18)</f>
        <v>1103941</v>
      </c>
      <c r="E15" s="789">
        <f>SUM(E16:E18)</f>
        <v>287276</v>
      </c>
      <c r="F15" s="788">
        <f>SUM(F16:F18)</f>
        <v>2611163</v>
      </c>
    </row>
    <row r="16" spans="1:10" ht="15" customHeight="1" x14ac:dyDescent="0.2">
      <c r="A16" s="794"/>
      <c r="B16" s="222" t="s">
        <v>572</v>
      </c>
      <c r="C16" s="796">
        <v>24579</v>
      </c>
      <c r="D16" s="796">
        <v>0</v>
      </c>
      <c r="E16" s="796">
        <v>0</v>
      </c>
      <c r="F16" s="795">
        <f>SUM(C16:E16)</f>
        <v>24579</v>
      </c>
    </row>
    <row r="17" spans="1:6" ht="15" customHeight="1" thickBot="1" x14ac:dyDescent="0.25">
      <c r="A17" s="794"/>
      <c r="B17" s="222" t="s">
        <v>571</v>
      </c>
      <c r="C17" s="796">
        <v>1195367</v>
      </c>
      <c r="D17" s="796">
        <v>1103941</v>
      </c>
      <c r="E17" s="796">
        <v>287276</v>
      </c>
      <c r="F17" s="795">
        <f>SUM(C17:E17)</f>
        <v>2586584</v>
      </c>
    </row>
    <row r="18" spans="1:6" ht="15" hidden="1" customHeight="1" thickBot="1" x14ac:dyDescent="0.25">
      <c r="A18" s="794"/>
      <c r="B18" s="222" t="s">
        <v>570</v>
      </c>
      <c r="C18" s="796">
        <v>0</v>
      </c>
      <c r="D18" s="796">
        <v>0</v>
      </c>
      <c r="E18" s="796">
        <v>0</v>
      </c>
      <c r="F18" s="795">
        <f>SUM(C18:E18)</f>
        <v>0</v>
      </c>
    </row>
    <row r="19" spans="1:6" ht="15" customHeight="1" thickBot="1" x14ac:dyDescent="0.25">
      <c r="A19" s="791" t="s">
        <v>569</v>
      </c>
      <c r="B19" s="790" t="s">
        <v>568</v>
      </c>
      <c r="C19" s="789">
        <f>SUM(C20:C22)</f>
        <v>193096136</v>
      </c>
      <c r="D19" s="789">
        <f>SUM(D20:D22)</f>
        <v>202655510</v>
      </c>
      <c r="E19" s="789">
        <f>SUM(E20:E22)</f>
        <v>33478694</v>
      </c>
      <c r="F19" s="788">
        <f>SUM(F20:F22)</f>
        <v>429230340</v>
      </c>
    </row>
    <row r="20" spans="1:6" ht="15" customHeight="1" x14ac:dyDescent="0.2">
      <c r="A20" s="794"/>
      <c r="B20" s="222" t="s">
        <v>567</v>
      </c>
      <c r="C20" s="793">
        <v>123790546</v>
      </c>
      <c r="D20" s="793">
        <v>178392935</v>
      </c>
      <c r="E20" s="793">
        <v>32307620</v>
      </c>
      <c r="F20" s="792">
        <f>SUM(C20:E20)</f>
        <v>334491101</v>
      </c>
    </row>
    <row r="21" spans="1:6" ht="15" customHeight="1" x14ac:dyDescent="0.2">
      <c r="A21" s="794"/>
      <c r="B21" s="222" t="s">
        <v>566</v>
      </c>
      <c r="C21" s="793">
        <v>67957593</v>
      </c>
      <c r="D21" s="793">
        <v>20144772</v>
      </c>
      <c r="E21" s="793">
        <v>178595</v>
      </c>
      <c r="F21" s="792">
        <f>SUM(C21:E21)</f>
        <v>88280960</v>
      </c>
    </row>
    <row r="22" spans="1:6" ht="15" customHeight="1" thickBot="1" x14ac:dyDescent="0.25">
      <c r="A22" s="794"/>
      <c r="B22" s="222" t="s">
        <v>565</v>
      </c>
      <c r="C22" s="793">
        <v>1347997</v>
      </c>
      <c r="D22" s="793">
        <v>4117803</v>
      </c>
      <c r="E22" s="793">
        <v>992479</v>
      </c>
      <c r="F22" s="792">
        <f>SUM(C22:E22)</f>
        <v>6458279</v>
      </c>
    </row>
    <row r="23" spans="1:6" ht="15" customHeight="1" thickBot="1" x14ac:dyDescent="0.25">
      <c r="A23" s="791"/>
      <c r="B23" s="790" t="s">
        <v>564</v>
      </c>
      <c r="C23" s="789">
        <f>C3+C19</f>
        <v>217099679</v>
      </c>
      <c r="D23" s="789">
        <f>D3+D19</f>
        <v>208674805</v>
      </c>
      <c r="E23" s="789">
        <f>E3+E19</f>
        <v>34748745</v>
      </c>
      <c r="F23" s="788">
        <f>F3+F19</f>
        <v>460523229</v>
      </c>
    </row>
    <row r="24" spans="1:6" x14ac:dyDescent="0.2">
      <c r="B24" s="22"/>
      <c r="C24" s="22"/>
      <c r="D24" s="22"/>
      <c r="E24" s="22"/>
      <c r="F24" s="22"/>
    </row>
    <row r="25" spans="1:6" x14ac:dyDescent="0.2">
      <c r="B25" s="22"/>
      <c r="C25" s="22"/>
      <c r="D25" s="22"/>
      <c r="E25" s="22"/>
      <c r="F25" s="22"/>
    </row>
    <row r="26" spans="1:6" ht="27.75" customHeight="1" x14ac:dyDescent="0.2">
      <c r="A26" s="1001" t="s">
        <v>4</v>
      </c>
      <c r="B26" s="1002"/>
      <c r="C26" s="816" t="s">
        <v>338</v>
      </c>
      <c r="D26" s="816" t="s">
        <v>337</v>
      </c>
      <c r="E26" s="816" t="s">
        <v>336</v>
      </c>
      <c r="F26" s="816" t="s">
        <v>39</v>
      </c>
    </row>
    <row r="27" spans="1:6" ht="15" customHeight="1" thickBot="1" x14ac:dyDescent="0.25">
      <c r="A27" s="815" t="s">
        <v>586</v>
      </c>
      <c r="B27" s="814" t="s">
        <v>585</v>
      </c>
      <c r="C27" s="813">
        <f>C28+C39</f>
        <v>22375462</v>
      </c>
      <c r="D27" s="812">
        <f>D28+D39</f>
        <v>4127590</v>
      </c>
      <c r="E27" s="812">
        <f>E28+E39</f>
        <v>1423931</v>
      </c>
      <c r="F27" s="811">
        <f>F28+F39</f>
        <v>27926983</v>
      </c>
    </row>
    <row r="28" spans="1:6" ht="15" customHeight="1" thickBot="1" x14ac:dyDescent="0.25">
      <c r="A28" s="791"/>
      <c r="B28" s="810" t="s">
        <v>584</v>
      </c>
      <c r="C28" s="809">
        <f>C29+C33+C38</f>
        <v>21533811</v>
      </c>
      <c r="D28" s="789">
        <f>D29+D33+D38</f>
        <v>3559763</v>
      </c>
      <c r="E28" s="789">
        <f>E29+E33+E38</f>
        <v>1086854</v>
      </c>
      <c r="F28" s="788">
        <f t="shared" ref="F28:F38" si="1">SUM(C28:E28)</f>
        <v>26180428</v>
      </c>
    </row>
    <row r="29" spans="1:6" ht="15" customHeight="1" thickBot="1" x14ac:dyDescent="0.25">
      <c r="A29" s="804"/>
      <c r="B29" s="803" t="s">
        <v>583</v>
      </c>
      <c r="C29" s="802">
        <f>SUM(C30:C32)</f>
        <v>18277043</v>
      </c>
      <c r="D29" s="802">
        <f>SUM(D30:D32)</f>
        <v>2150136</v>
      </c>
      <c r="E29" s="802">
        <f>SUM(E30:E32)</f>
        <v>671019</v>
      </c>
      <c r="F29" s="801">
        <f t="shared" si="1"/>
        <v>21098198</v>
      </c>
    </row>
    <row r="30" spans="1:6" ht="15" customHeight="1" x14ac:dyDescent="0.2">
      <c r="A30" s="808"/>
      <c r="B30" s="807" t="s">
        <v>582</v>
      </c>
      <c r="C30" s="806">
        <v>18252231</v>
      </c>
      <c r="D30" s="806">
        <v>2088985</v>
      </c>
      <c r="E30" s="806">
        <v>671019</v>
      </c>
      <c r="F30" s="805">
        <f t="shared" si="1"/>
        <v>21012235</v>
      </c>
    </row>
    <row r="31" spans="1:6" ht="15" customHeight="1" thickBot="1" x14ac:dyDescent="0.25">
      <c r="A31" s="800"/>
      <c r="B31" s="799" t="s">
        <v>581</v>
      </c>
      <c r="C31" s="798">
        <v>24812</v>
      </c>
      <c r="D31" s="798">
        <v>61151</v>
      </c>
      <c r="E31" s="798">
        <v>0</v>
      </c>
      <c r="F31" s="797">
        <f t="shared" si="1"/>
        <v>85963</v>
      </c>
    </row>
    <row r="32" spans="1:6" ht="15" hidden="1" customHeight="1" thickBot="1" x14ac:dyDescent="0.25">
      <c r="A32" s="800"/>
      <c r="B32" s="799" t="s">
        <v>580</v>
      </c>
      <c r="C32" s="798">
        <v>0</v>
      </c>
      <c r="D32" s="798">
        <v>0</v>
      </c>
      <c r="E32" s="798">
        <v>0</v>
      </c>
      <c r="F32" s="797">
        <f t="shared" si="1"/>
        <v>0</v>
      </c>
    </row>
    <row r="33" spans="1:7" ht="15" customHeight="1" thickBot="1" x14ac:dyDescent="0.25">
      <c r="A33" s="804"/>
      <c r="B33" s="803" t="s">
        <v>579</v>
      </c>
      <c r="C33" s="802">
        <f>SUM(C34:C37)</f>
        <v>3256438</v>
      </c>
      <c r="D33" s="802">
        <f>SUM(D34:D37)</f>
        <v>1409627</v>
      </c>
      <c r="E33" s="802">
        <f>SUM(E34:E37)</f>
        <v>415835</v>
      </c>
      <c r="F33" s="801">
        <f t="shared" si="1"/>
        <v>5081900</v>
      </c>
    </row>
    <row r="34" spans="1:7" ht="15" customHeight="1" x14ac:dyDescent="0.2">
      <c r="A34" s="800"/>
      <c r="B34" s="799" t="s">
        <v>578</v>
      </c>
      <c r="C34" s="798">
        <v>11142</v>
      </c>
      <c r="D34" s="798">
        <v>0</v>
      </c>
      <c r="E34" s="798">
        <v>0</v>
      </c>
      <c r="F34" s="797">
        <f t="shared" si="1"/>
        <v>11142</v>
      </c>
    </row>
    <row r="35" spans="1:7" ht="15" customHeight="1" x14ac:dyDescent="0.2">
      <c r="A35" s="800"/>
      <c r="B35" s="799" t="s">
        <v>577</v>
      </c>
      <c r="C35" s="798">
        <v>3228779</v>
      </c>
      <c r="D35" s="798">
        <v>1409627</v>
      </c>
      <c r="E35" s="798">
        <v>415835</v>
      </c>
      <c r="F35" s="797">
        <f t="shared" si="1"/>
        <v>5054241</v>
      </c>
    </row>
    <row r="36" spans="1:7" ht="15" hidden="1" customHeight="1" x14ac:dyDescent="0.2">
      <c r="A36" s="800"/>
      <c r="B36" s="799" t="s">
        <v>576</v>
      </c>
      <c r="C36" s="798"/>
      <c r="D36" s="798"/>
      <c r="E36" s="798"/>
      <c r="F36" s="797">
        <f t="shared" si="1"/>
        <v>0</v>
      </c>
    </row>
    <row r="37" spans="1:7" ht="15" customHeight="1" x14ac:dyDescent="0.2">
      <c r="A37" s="800"/>
      <c r="B37" s="799" t="s">
        <v>575</v>
      </c>
      <c r="C37" s="798">
        <v>16517</v>
      </c>
      <c r="D37" s="798">
        <v>0</v>
      </c>
      <c r="E37" s="798">
        <v>0</v>
      </c>
      <c r="F37" s="797">
        <f t="shared" si="1"/>
        <v>16517</v>
      </c>
    </row>
    <row r="38" spans="1:7" ht="15" customHeight="1" thickBot="1" x14ac:dyDescent="0.25">
      <c r="A38" s="800"/>
      <c r="B38" s="799" t="s">
        <v>574</v>
      </c>
      <c r="C38" s="798">
        <v>330</v>
      </c>
      <c r="D38" s="798">
        <v>0</v>
      </c>
      <c r="E38" s="798">
        <v>0</v>
      </c>
      <c r="F38" s="797">
        <f t="shared" si="1"/>
        <v>330</v>
      </c>
    </row>
    <row r="39" spans="1:7" ht="15" customHeight="1" thickBot="1" x14ac:dyDescent="0.25">
      <c r="A39" s="791"/>
      <c r="B39" s="790" t="s">
        <v>573</v>
      </c>
      <c r="C39" s="789">
        <f>SUM(C40:C42)</f>
        <v>841651</v>
      </c>
      <c r="D39" s="789">
        <f>SUM(D40:D42)</f>
        <v>567827</v>
      </c>
      <c r="E39" s="789">
        <f>SUM(E40:E42)</f>
        <v>337077</v>
      </c>
      <c r="F39" s="788">
        <f>SUM(F40:F42)</f>
        <v>1746555</v>
      </c>
    </row>
    <row r="40" spans="1:7" ht="15" hidden="1" customHeight="1" x14ac:dyDescent="0.2">
      <c r="A40" s="794"/>
      <c r="B40" s="222" t="s">
        <v>572</v>
      </c>
      <c r="C40" s="796">
        <v>0</v>
      </c>
      <c r="D40" s="796">
        <v>0</v>
      </c>
      <c r="E40" s="796">
        <v>0</v>
      </c>
      <c r="F40" s="795">
        <f>SUM(C40:E40)</f>
        <v>0</v>
      </c>
    </row>
    <row r="41" spans="1:7" ht="15" customHeight="1" thickBot="1" x14ac:dyDescent="0.25">
      <c r="A41" s="794"/>
      <c r="B41" s="222" t="s">
        <v>571</v>
      </c>
      <c r="C41" s="796">
        <v>841651</v>
      </c>
      <c r="D41" s="796">
        <v>567827</v>
      </c>
      <c r="E41" s="796">
        <v>337077</v>
      </c>
      <c r="F41" s="795">
        <f>SUM(C41:E41)</f>
        <v>1746555</v>
      </c>
    </row>
    <row r="42" spans="1:7" ht="15" hidden="1" customHeight="1" thickBot="1" x14ac:dyDescent="0.25">
      <c r="A42" s="794"/>
      <c r="B42" s="222" t="s">
        <v>570</v>
      </c>
      <c r="C42" s="796">
        <v>0</v>
      </c>
      <c r="D42" s="796">
        <v>0</v>
      </c>
      <c r="E42" s="796">
        <v>0</v>
      </c>
      <c r="F42" s="795">
        <v>0</v>
      </c>
    </row>
    <row r="43" spans="1:7" ht="15" customHeight="1" thickBot="1" x14ac:dyDescent="0.25">
      <c r="A43" s="791" t="s">
        <v>569</v>
      </c>
      <c r="B43" s="790" t="s">
        <v>568</v>
      </c>
      <c r="C43" s="789">
        <f>SUM(C44:C46)</f>
        <v>291068422</v>
      </c>
      <c r="D43" s="789">
        <f>SUM(D44:D46)</f>
        <v>242262437</v>
      </c>
      <c r="E43" s="789">
        <f>SUM(E44:E46)</f>
        <v>45857496</v>
      </c>
      <c r="F43" s="788">
        <f>SUM(F44:F46)</f>
        <v>579188355</v>
      </c>
      <c r="G43" s="29"/>
    </row>
    <row r="44" spans="1:7" ht="15" customHeight="1" x14ac:dyDescent="0.2">
      <c r="A44" s="794"/>
      <c r="B44" s="222" t="s">
        <v>567</v>
      </c>
      <c r="C44" s="793">
        <v>223451729</v>
      </c>
      <c r="D44" s="793">
        <v>227553443</v>
      </c>
      <c r="E44" s="793">
        <v>43004218</v>
      </c>
      <c r="F44" s="792">
        <f>SUM(C44:E44)</f>
        <v>494009390</v>
      </c>
      <c r="G44" s="29"/>
    </row>
    <row r="45" spans="1:7" ht="15" customHeight="1" x14ac:dyDescent="0.2">
      <c r="A45" s="794"/>
      <c r="B45" s="222" t="s">
        <v>566</v>
      </c>
      <c r="C45" s="793">
        <v>66595247</v>
      </c>
      <c r="D45" s="793">
        <v>12656451</v>
      </c>
      <c r="E45" s="793">
        <v>1872328</v>
      </c>
      <c r="F45" s="792">
        <f>SUM(C45:E45)</f>
        <v>81124026</v>
      </c>
      <c r="G45" s="29"/>
    </row>
    <row r="46" spans="1:7" ht="15" customHeight="1" thickBot="1" x14ac:dyDescent="0.25">
      <c r="A46" s="794"/>
      <c r="B46" s="222" t="s">
        <v>565</v>
      </c>
      <c r="C46" s="793">
        <v>1021446</v>
      </c>
      <c r="D46" s="793">
        <v>2052543</v>
      </c>
      <c r="E46" s="793">
        <v>980950</v>
      </c>
      <c r="F46" s="792">
        <f>SUM(C46:E46)</f>
        <v>4054939</v>
      </c>
      <c r="G46" s="29"/>
    </row>
    <row r="47" spans="1:7" ht="15" customHeight="1" thickBot="1" x14ac:dyDescent="0.25">
      <c r="A47" s="791"/>
      <c r="B47" s="790" t="s">
        <v>564</v>
      </c>
      <c r="C47" s="789">
        <f>C27+C43</f>
        <v>313443884</v>
      </c>
      <c r="D47" s="789">
        <f>D27+D43</f>
        <v>246390027</v>
      </c>
      <c r="E47" s="789">
        <f>E27+E43</f>
        <v>47281427</v>
      </c>
      <c r="F47" s="788">
        <f>F27+F43</f>
        <v>607115338</v>
      </c>
    </row>
    <row r="48" spans="1:7" x14ac:dyDescent="0.2">
      <c r="B48" s="22"/>
      <c r="C48" s="22"/>
      <c r="D48" s="22"/>
      <c r="E48" s="22"/>
      <c r="F48" s="22"/>
    </row>
    <row r="49" spans="2:6" x14ac:dyDescent="0.2">
      <c r="B49" s="22"/>
      <c r="C49" s="22"/>
      <c r="D49" s="22"/>
      <c r="E49" s="22"/>
      <c r="F49" s="22"/>
    </row>
    <row r="50" spans="2:6" x14ac:dyDescent="0.2">
      <c r="B50" s="22"/>
      <c r="C50" s="22"/>
      <c r="D50" s="22"/>
      <c r="E50" s="22"/>
      <c r="F50" s="22"/>
    </row>
    <row r="51" spans="2:6" x14ac:dyDescent="0.2">
      <c r="B51" s="22"/>
      <c r="C51" s="22"/>
      <c r="D51" s="22"/>
      <c r="E51" s="22"/>
      <c r="F51" s="22"/>
    </row>
    <row r="52" spans="2:6" x14ac:dyDescent="0.2">
      <c r="B52" s="22"/>
      <c r="C52" s="22"/>
      <c r="D52" s="22"/>
      <c r="E52" s="22"/>
      <c r="F52" s="22"/>
    </row>
    <row r="53" spans="2:6" x14ac:dyDescent="0.2">
      <c r="B53" s="22"/>
      <c r="C53" s="22"/>
      <c r="D53" s="22"/>
      <c r="E53" s="22"/>
      <c r="F53" s="22"/>
    </row>
    <row r="54" spans="2:6" x14ac:dyDescent="0.2">
      <c r="B54" s="22"/>
      <c r="C54" s="22"/>
      <c r="D54" s="22"/>
      <c r="E54" s="22"/>
      <c r="F54" s="22"/>
    </row>
    <row r="55" spans="2:6" x14ac:dyDescent="0.2">
      <c r="B55" s="22"/>
      <c r="C55" s="22"/>
      <c r="D55" s="22"/>
      <c r="E55" s="22"/>
      <c r="F55" s="22"/>
    </row>
    <row r="56" spans="2:6" x14ac:dyDescent="0.2">
      <c r="B56" s="22"/>
      <c r="C56" s="22"/>
      <c r="D56" s="22"/>
      <c r="E56" s="22"/>
      <c r="F56" s="22"/>
    </row>
    <row r="57" spans="2:6" x14ac:dyDescent="0.2">
      <c r="B57" s="22"/>
      <c r="C57" s="22"/>
      <c r="D57" s="22"/>
      <c r="E57" s="22"/>
      <c r="F57" s="22"/>
    </row>
    <row r="58" spans="2:6" x14ac:dyDescent="0.2">
      <c r="B58" s="22"/>
      <c r="C58" s="22"/>
      <c r="D58" s="22"/>
      <c r="E58" s="22"/>
      <c r="F58" s="22"/>
    </row>
    <row r="59" spans="2:6" x14ac:dyDescent="0.2">
      <c r="B59" s="22"/>
      <c r="C59" s="22"/>
      <c r="D59" s="22"/>
      <c r="E59" s="22"/>
      <c r="F59" s="22"/>
    </row>
    <row r="60" spans="2:6" x14ac:dyDescent="0.2">
      <c r="B60" s="22"/>
      <c r="C60" s="22"/>
      <c r="D60" s="22"/>
      <c r="E60" s="22"/>
      <c r="F60" s="22"/>
    </row>
    <row r="61" spans="2:6" x14ac:dyDescent="0.2">
      <c r="B61" s="22"/>
      <c r="C61" s="22"/>
      <c r="D61" s="22"/>
      <c r="E61" s="22"/>
      <c r="F61" s="22"/>
    </row>
    <row r="62" spans="2:6" x14ac:dyDescent="0.2">
      <c r="B62" s="22"/>
      <c r="C62" s="22"/>
      <c r="D62" s="22"/>
      <c r="E62" s="22"/>
      <c r="F62" s="22"/>
    </row>
    <row r="63" spans="2:6" x14ac:dyDescent="0.2">
      <c r="B63" s="22"/>
      <c r="C63" s="22"/>
      <c r="D63" s="22"/>
      <c r="E63" s="22"/>
      <c r="F63" s="22"/>
    </row>
    <row r="64" spans="2:6" x14ac:dyDescent="0.2">
      <c r="B64" s="22"/>
      <c r="C64" s="22"/>
      <c r="D64" s="22"/>
      <c r="E64" s="22"/>
      <c r="F64" s="22"/>
    </row>
    <row r="65" spans="2:6" x14ac:dyDescent="0.2">
      <c r="B65" s="22"/>
      <c r="C65" s="22"/>
      <c r="D65" s="22"/>
      <c r="E65" s="22"/>
      <c r="F65" s="22"/>
    </row>
    <row r="66" spans="2:6" x14ac:dyDescent="0.2">
      <c r="B66" s="22"/>
      <c r="C66" s="22"/>
      <c r="D66" s="22"/>
      <c r="E66" s="22"/>
      <c r="F66" s="22"/>
    </row>
    <row r="67" spans="2:6" x14ac:dyDescent="0.2">
      <c r="B67" s="22"/>
      <c r="C67" s="22"/>
      <c r="D67" s="22"/>
      <c r="E67" s="22"/>
      <c r="F67" s="22"/>
    </row>
    <row r="68" spans="2:6" x14ac:dyDescent="0.2">
      <c r="B68" s="22"/>
      <c r="C68" s="22"/>
      <c r="D68" s="22"/>
      <c r="E68" s="22"/>
      <c r="F68" s="22"/>
    </row>
    <row r="69" spans="2:6" x14ac:dyDescent="0.2">
      <c r="B69" s="22"/>
      <c r="C69" s="22"/>
      <c r="D69" s="22"/>
      <c r="E69" s="22"/>
      <c r="F69" s="22"/>
    </row>
    <row r="70" spans="2:6" x14ac:dyDescent="0.2">
      <c r="B70" s="22"/>
      <c r="C70" s="22"/>
      <c r="D70" s="22"/>
      <c r="E70" s="22"/>
      <c r="F70" s="22"/>
    </row>
    <row r="71" spans="2:6" x14ac:dyDescent="0.2">
      <c r="B71" s="22"/>
      <c r="C71" s="22"/>
      <c r="D71" s="22"/>
      <c r="E71" s="22"/>
      <c r="F71" s="22"/>
    </row>
    <row r="72" spans="2:6" x14ac:dyDescent="0.2">
      <c r="B72" s="22"/>
      <c r="C72" s="22"/>
      <c r="D72" s="22"/>
      <c r="E72" s="22"/>
      <c r="F72" s="22"/>
    </row>
    <row r="73" spans="2:6" x14ac:dyDescent="0.2">
      <c r="B73" s="22"/>
      <c r="C73" s="22"/>
      <c r="D73" s="22"/>
      <c r="E73" s="22"/>
      <c r="F73" s="22"/>
    </row>
    <row r="74" spans="2:6" x14ac:dyDescent="0.2">
      <c r="B74" s="22"/>
      <c r="C74" s="22"/>
      <c r="D74" s="22"/>
      <c r="E74" s="22"/>
      <c r="F74" s="22"/>
    </row>
    <row r="75" spans="2:6" x14ac:dyDescent="0.2">
      <c r="B75" s="22"/>
      <c r="C75" s="22"/>
      <c r="D75" s="22"/>
      <c r="E75" s="22"/>
      <c r="F75" s="22"/>
    </row>
    <row r="76" spans="2:6" x14ac:dyDescent="0.2">
      <c r="B76" s="22"/>
      <c r="C76" s="22"/>
      <c r="D76" s="22"/>
      <c r="E76" s="22"/>
      <c r="F76" s="22"/>
    </row>
    <row r="77" spans="2:6" x14ac:dyDescent="0.2">
      <c r="B77" s="22"/>
      <c r="C77" s="22"/>
      <c r="D77" s="22"/>
      <c r="E77" s="22"/>
      <c r="F77" s="22"/>
    </row>
    <row r="78" spans="2:6" x14ac:dyDescent="0.2">
      <c r="B78" s="22"/>
      <c r="C78" s="22"/>
      <c r="D78" s="22"/>
      <c r="E78" s="22"/>
      <c r="F78" s="22"/>
    </row>
    <row r="79" spans="2:6" x14ac:dyDescent="0.2">
      <c r="B79" s="22"/>
      <c r="C79" s="22"/>
      <c r="D79" s="22"/>
      <c r="E79" s="22"/>
      <c r="F79" s="22"/>
    </row>
    <row r="80" spans="2:6" x14ac:dyDescent="0.2">
      <c r="B80" s="22"/>
      <c r="C80" s="22"/>
      <c r="D80" s="22"/>
      <c r="E80" s="22"/>
      <c r="F80" s="22"/>
    </row>
    <row r="81" spans="2:6" x14ac:dyDescent="0.2">
      <c r="B81" s="22"/>
      <c r="C81" s="22"/>
      <c r="D81" s="22"/>
      <c r="E81" s="22"/>
      <c r="F81" s="22"/>
    </row>
    <row r="82" spans="2:6" x14ac:dyDescent="0.2">
      <c r="B82" s="22"/>
      <c r="C82" s="22"/>
      <c r="D82" s="22"/>
      <c r="E82" s="22"/>
      <c r="F82" s="22"/>
    </row>
    <row r="83" spans="2:6" x14ac:dyDescent="0.2">
      <c r="B83" s="22"/>
      <c r="C83" s="22"/>
      <c r="D83" s="22"/>
      <c r="E83" s="22"/>
      <c r="F83" s="22"/>
    </row>
    <row r="84" spans="2:6" x14ac:dyDescent="0.2">
      <c r="B84" s="22"/>
      <c r="C84" s="22"/>
      <c r="D84" s="22"/>
      <c r="E84" s="22"/>
      <c r="F84" s="22"/>
    </row>
    <row r="85" spans="2:6" x14ac:dyDescent="0.2">
      <c r="B85" s="22"/>
      <c r="C85" s="22"/>
      <c r="D85" s="22"/>
      <c r="E85" s="22"/>
      <c r="F85" s="22"/>
    </row>
    <row r="86" spans="2:6" x14ac:dyDescent="0.2">
      <c r="B86" s="22"/>
      <c r="C86" s="22"/>
      <c r="D86" s="22"/>
      <c r="E86" s="22"/>
      <c r="F86" s="22"/>
    </row>
    <row r="87" spans="2:6" x14ac:dyDescent="0.2">
      <c r="B87" s="22"/>
      <c r="C87" s="22"/>
      <c r="D87" s="22"/>
      <c r="E87" s="22"/>
      <c r="F87" s="22"/>
    </row>
    <row r="88" spans="2:6" x14ac:dyDescent="0.2">
      <c r="B88" s="22"/>
      <c r="C88" s="22"/>
      <c r="D88" s="22"/>
      <c r="E88" s="22"/>
      <c r="F88" s="22"/>
    </row>
    <row r="89" spans="2:6" x14ac:dyDescent="0.2">
      <c r="B89" s="22"/>
      <c r="C89" s="22"/>
      <c r="D89" s="22"/>
      <c r="E89" s="22"/>
      <c r="F89" s="22"/>
    </row>
    <row r="90" spans="2:6" x14ac:dyDescent="0.2">
      <c r="B90" s="22"/>
      <c r="C90" s="22"/>
      <c r="D90" s="22"/>
      <c r="E90" s="22"/>
      <c r="F90" s="22"/>
    </row>
    <row r="91" spans="2:6" x14ac:dyDescent="0.2">
      <c r="B91" s="22"/>
      <c r="C91" s="22"/>
      <c r="D91" s="22"/>
      <c r="E91" s="22"/>
      <c r="F91" s="22"/>
    </row>
    <row r="92" spans="2:6" x14ac:dyDescent="0.2">
      <c r="B92" s="22"/>
      <c r="C92" s="22"/>
      <c r="D92" s="22"/>
      <c r="E92" s="22"/>
      <c r="F92" s="22"/>
    </row>
    <row r="93" spans="2:6" x14ac:dyDescent="0.2">
      <c r="B93" s="22"/>
      <c r="C93" s="22"/>
      <c r="D93" s="22"/>
      <c r="E93" s="22"/>
      <c r="F93" s="22"/>
    </row>
    <row r="94" spans="2:6" x14ac:dyDescent="0.2">
      <c r="B94" s="22"/>
      <c r="C94" s="22"/>
      <c r="D94" s="22"/>
      <c r="E94" s="22"/>
      <c r="F94" s="22"/>
    </row>
    <row r="95" spans="2:6" x14ac:dyDescent="0.2">
      <c r="B95" s="22"/>
      <c r="C95" s="22"/>
      <c r="D95" s="22"/>
      <c r="E95" s="22"/>
      <c r="F95" s="22"/>
    </row>
    <row r="96" spans="2:6" x14ac:dyDescent="0.2">
      <c r="B96" s="22"/>
      <c r="C96" s="22"/>
      <c r="D96" s="22"/>
      <c r="E96" s="22"/>
      <c r="F96" s="22"/>
    </row>
    <row r="97" spans="2:6" x14ac:dyDescent="0.2">
      <c r="B97" s="22"/>
      <c r="C97" s="22"/>
      <c r="D97" s="22"/>
      <c r="E97" s="22"/>
      <c r="F97" s="22"/>
    </row>
    <row r="98" spans="2:6" x14ac:dyDescent="0.2">
      <c r="B98" s="22"/>
      <c r="C98" s="22"/>
      <c r="D98" s="22"/>
      <c r="E98" s="22"/>
      <c r="F98" s="22"/>
    </row>
    <row r="99" spans="2:6" x14ac:dyDescent="0.2">
      <c r="B99" s="22"/>
      <c r="C99" s="22"/>
      <c r="D99" s="22"/>
      <c r="E99" s="22"/>
      <c r="F99" s="22"/>
    </row>
    <row r="100" spans="2:6" x14ac:dyDescent="0.2">
      <c r="B100" s="22"/>
      <c r="C100" s="22"/>
      <c r="D100" s="22"/>
      <c r="E100" s="22"/>
      <c r="F100" s="22"/>
    </row>
    <row r="101" spans="2:6" x14ac:dyDescent="0.2">
      <c r="B101" s="22"/>
      <c r="C101" s="22"/>
      <c r="D101" s="22"/>
      <c r="E101" s="22"/>
      <c r="F101" s="22"/>
    </row>
    <row r="102" spans="2:6" x14ac:dyDescent="0.2">
      <c r="B102" s="22"/>
      <c r="C102" s="22"/>
      <c r="D102" s="22"/>
      <c r="E102" s="22"/>
      <c r="F102" s="22"/>
    </row>
    <row r="103" spans="2:6" x14ac:dyDescent="0.2">
      <c r="B103" s="22"/>
      <c r="C103" s="22"/>
      <c r="D103" s="22"/>
      <c r="E103" s="22"/>
      <c r="F103" s="22"/>
    </row>
    <row r="104" spans="2:6" x14ac:dyDescent="0.2">
      <c r="B104" s="22"/>
      <c r="C104" s="22"/>
      <c r="D104" s="22"/>
      <c r="E104" s="22"/>
      <c r="F104" s="22"/>
    </row>
    <row r="105" spans="2:6" x14ac:dyDescent="0.2">
      <c r="B105" s="22"/>
      <c r="C105" s="22"/>
      <c r="D105" s="22"/>
      <c r="E105" s="22"/>
      <c r="F105" s="22"/>
    </row>
    <row r="106" spans="2:6" x14ac:dyDescent="0.2">
      <c r="B106" s="22"/>
      <c r="C106" s="22"/>
      <c r="D106" s="22"/>
      <c r="E106" s="22"/>
      <c r="F106" s="22"/>
    </row>
    <row r="107" spans="2:6" x14ac:dyDescent="0.2">
      <c r="B107" s="22"/>
      <c r="C107" s="22"/>
      <c r="D107" s="22"/>
      <c r="E107" s="22"/>
      <c r="F107" s="22"/>
    </row>
    <row r="108" spans="2:6" x14ac:dyDescent="0.2">
      <c r="B108" s="22"/>
      <c r="C108" s="22"/>
      <c r="D108" s="22"/>
      <c r="E108" s="22"/>
      <c r="F108" s="22"/>
    </row>
    <row r="109" spans="2:6" x14ac:dyDescent="0.2">
      <c r="B109" s="22"/>
      <c r="C109" s="22"/>
      <c r="D109" s="22"/>
      <c r="E109" s="22"/>
      <c r="F109" s="22"/>
    </row>
    <row r="110" spans="2:6" x14ac:dyDescent="0.2">
      <c r="B110" s="22"/>
      <c r="C110" s="22"/>
      <c r="D110" s="22"/>
      <c r="E110" s="22"/>
      <c r="F110" s="22"/>
    </row>
    <row r="111" spans="2:6" x14ac:dyDescent="0.2">
      <c r="B111" s="22"/>
      <c r="C111" s="22"/>
      <c r="D111" s="22"/>
      <c r="E111" s="22"/>
      <c r="F111" s="22"/>
    </row>
    <row r="112" spans="2:6" x14ac:dyDescent="0.2">
      <c r="B112" s="22"/>
      <c r="C112" s="22"/>
      <c r="D112" s="22"/>
      <c r="E112" s="22"/>
      <c r="F112" s="22"/>
    </row>
    <row r="113" spans="2:6" x14ac:dyDescent="0.2">
      <c r="B113" s="22"/>
      <c r="C113" s="22"/>
      <c r="D113" s="22"/>
      <c r="E113" s="22"/>
      <c r="F113" s="22"/>
    </row>
    <row r="114" spans="2:6" x14ac:dyDescent="0.2">
      <c r="B114" s="22"/>
      <c r="C114" s="22"/>
      <c r="D114" s="22"/>
      <c r="E114" s="22"/>
      <c r="F114" s="22"/>
    </row>
    <row r="115" spans="2:6" x14ac:dyDescent="0.2">
      <c r="B115" s="22"/>
      <c r="C115" s="22"/>
      <c r="D115" s="22"/>
      <c r="E115" s="22"/>
      <c r="F115" s="22"/>
    </row>
    <row r="116" spans="2:6" x14ac:dyDescent="0.2">
      <c r="B116" s="22"/>
      <c r="C116" s="22"/>
      <c r="D116" s="22"/>
      <c r="E116" s="22"/>
      <c r="F116" s="22"/>
    </row>
    <row r="117" spans="2:6" x14ac:dyDescent="0.2">
      <c r="B117" s="22"/>
      <c r="C117" s="22"/>
      <c r="D117" s="22"/>
      <c r="E117" s="22"/>
      <c r="F117" s="22"/>
    </row>
    <row r="118" spans="2:6" x14ac:dyDescent="0.2">
      <c r="B118" s="22"/>
      <c r="C118" s="22"/>
      <c r="D118" s="22"/>
      <c r="E118" s="22"/>
      <c r="F118" s="22"/>
    </row>
    <row r="119" spans="2:6" x14ac:dyDescent="0.2">
      <c r="B119" s="22"/>
      <c r="C119" s="22"/>
      <c r="D119" s="22"/>
      <c r="E119" s="22"/>
      <c r="F119" s="22"/>
    </row>
    <row r="120" spans="2:6" x14ac:dyDescent="0.2">
      <c r="B120" s="22"/>
      <c r="C120" s="22"/>
      <c r="D120" s="22"/>
      <c r="E120" s="22"/>
      <c r="F120" s="22"/>
    </row>
    <row r="121" spans="2:6" x14ac:dyDescent="0.2">
      <c r="B121" s="22"/>
      <c r="C121" s="22"/>
      <c r="D121" s="22"/>
      <c r="E121" s="22"/>
      <c r="F121" s="22"/>
    </row>
    <row r="122" spans="2:6" x14ac:dyDescent="0.2">
      <c r="B122" s="22"/>
      <c r="C122" s="22"/>
      <c r="D122" s="22"/>
      <c r="E122" s="22"/>
      <c r="F122" s="22"/>
    </row>
    <row r="123" spans="2:6" x14ac:dyDescent="0.2">
      <c r="B123" s="22"/>
      <c r="C123" s="22"/>
      <c r="D123" s="22"/>
      <c r="E123" s="22"/>
      <c r="F123" s="22"/>
    </row>
    <row r="124" spans="2:6" x14ac:dyDescent="0.2">
      <c r="B124" s="22"/>
      <c r="C124" s="22"/>
      <c r="D124" s="22"/>
      <c r="E124" s="22"/>
      <c r="F124" s="22"/>
    </row>
    <row r="125" spans="2:6" x14ac:dyDescent="0.2">
      <c r="B125" s="22"/>
      <c r="C125" s="22"/>
      <c r="D125" s="22"/>
      <c r="E125" s="22"/>
      <c r="F125" s="22"/>
    </row>
    <row r="126" spans="2:6" x14ac:dyDescent="0.2">
      <c r="B126" s="22"/>
      <c r="C126" s="22"/>
      <c r="D126" s="22"/>
      <c r="E126" s="22"/>
      <c r="F126" s="22"/>
    </row>
    <row r="127" spans="2:6" x14ac:dyDescent="0.2">
      <c r="B127" s="22"/>
      <c r="C127" s="22"/>
      <c r="D127" s="22"/>
      <c r="E127" s="22"/>
      <c r="F127" s="22"/>
    </row>
    <row r="128" spans="2:6" x14ac:dyDescent="0.2">
      <c r="B128" s="22"/>
      <c r="C128" s="22"/>
      <c r="D128" s="22"/>
      <c r="E128" s="22"/>
      <c r="F128" s="22"/>
    </row>
    <row r="129" spans="2:6" x14ac:dyDescent="0.2">
      <c r="B129" s="22"/>
      <c r="C129" s="22"/>
      <c r="D129" s="22"/>
      <c r="E129" s="22"/>
      <c r="F129" s="22"/>
    </row>
    <row r="130" spans="2:6" x14ac:dyDescent="0.2">
      <c r="B130" s="22"/>
      <c r="C130" s="22"/>
      <c r="D130" s="22"/>
      <c r="E130" s="22"/>
      <c r="F130" s="22"/>
    </row>
    <row r="131" spans="2:6" x14ac:dyDescent="0.2">
      <c r="B131" s="22"/>
      <c r="C131" s="22"/>
      <c r="D131" s="22"/>
      <c r="E131" s="22"/>
      <c r="F131" s="22"/>
    </row>
    <row r="132" spans="2:6" x14ac:dyDescent="0.2">
      <c r="B132" s="22"/>
      <c r="C132" s="22"/>
      <c r="D132" s="22"/>
      <c r="E132" s="22"/>
      <c r="F132" s="22"/>
    </row>
    <row r="133" spans="2:6" x14ac:dyDescent="0.2">
      <c r="B133" s="22"/>
      <c r="C133" s="22"/>
      <c r="D133" s="22"/>
      <c r="E133" s="22"/>
      <c r="F133" s="22"/>
    </row>
    <row r="134" spans="2:6" x14ac:dyDescent="0.2">
      <c r="B134" s="22"/>
      <c r="C134" s="22"/>
      <c r="D134" s="22"/>
      <c r="E134" s="22"/>
      <c r="F134" s="22"/>
    </row>
    <row r="135" spans="2:6" x14ac:dyDescent="0.2">
      <c r="B135" s="22"/>
      <c r="C135" s="22"/>
      <c r="D135" s="22"/>
      <c r="E135" s="22"/>
      <c r="F135" s="22"/>
    </row>
    <row r="136" spans="2:6" x14ac:dyDescent="0.2">
      <c r="B136" s="22"/>
      <c r="C136" s="22"/>
      <c r="D136" s="22"/>
      <c r="E136" s="22"/>
      <c r="F136" s="22"/>
    </row>
    <row r="137" spans="2:6" x14ac:dyDescent="0.2">
      <c r="B137" s="22"/>
      <c r="C137" s="22"/>
      <c r="D137" s="22"/>
      <c r="E137" s="22"/>
      <c r="F137" s="22"/>
    </row>
    <row r="138" spans="2:6" x14ac:dyDescent="0.2">
      <c r="B138" s="22"/>
      <c r="C138" s="22"/>
      <c r="D138" s="22"/>
      <c r="E138" s="22"/>
      <c r="F138" s="22"/>
    </row>
    <row r="139" spans="2:6" x14ac:dyDescent="0.2">
      <c r="B139" s="22"/>
      <c r="C139" s="22"/>
      <c r="D139" s="22"/>
      <c r="E139" s="22"/>
      <c r="F139" s="22"/>
    </row>
    <row r="140" spans="2:6" x14ac:dyDescent="0.2">
      <c r="B140" s="22"/>
      <c r="C140" s="22"/>
      <c r="D140" s="22"/>
      <c r="E140" s="22"/>
      <c r="F140" s="22"/>
    </row>
    <row r="141" spans="2:6" x14ac:dyDescent="0.2">
      <c r="B141" s="22"/>
      <c r="C141" s="22"/>
      <c r="D141" s="22"/>
      <c r="E141" s="22"/>
      <c r="F141" s="22"/>
    </row>
    <row r="142" spans="2:6" x14ac:dyDescent="0.2">
      <c r="B142" s="22"/>
      <c r="C142" s="22"/>
      <c r="D142" s="22"/>
      <c r="E142" s="22"/>
      <c r="F142" s="22"/>
    </row>
    <row r="143" spans="2:6" x14ac:dyDescent="0.2">
      <c r="B143" s="22"/>
      <c r="C143" s="22"/>
      <c r="D143" s="22"/>
      <c r="E143" s="22"/>
      <c r="F143" s="22"/>
    </row>
    <row r="144" spans="2:6" x14ac:dyDescent="0.2">
      <c r="B144" s="22"/>
      <c r="C144" s="22"/>
      <c r="D144" s="22"/>
      <c r="E144" s="22"/>
      <c r="F144" s="22"/>
    </row>
    <row r="145" spans="2:6" x14ac:dyDescent="0.2">
      <c r="B145" s="22"/>
      <c r="C145" s="22"/>
      <c r="D145" s="22"/>
      <c r="E145" s="22"/>
      <c r="F145" s="22"/>
    </row>
    <row r="146" spans="2:6" x14ac:dyDescent="0.2">
      <c r="B146" s="22"/>
      <c r="C146" s="22"/>
      <c r="D146" s="22"/>
      <c r="E146" s="22"/>
      <c r="F146" s="22"/>
    </row>
    <row r="147" spans="2:6" x14ac:dyDescent="0.2">
      <c r="B147" s="22"/>
      <c r="C147" s="22"/>
      <c r="D147" s="22"/>
      <c r="E147" s="22"/>
      <c r="F147" s="22"/>
    </row>
    <row r="148" spans="2:6" x14ac:dyDescent="0.2">
      <c r="B148" s="22"/>
      <c r="C148" s="22"/>
      <c r="D148" s="22"/>
      <c r="E148" s="22"/>
      <c r="F148" s="22"/>
    </row>
    <row r="149" spans="2:6" x14ac:dyDescent="0.2">
      <c r="B149" s="22"/>
      <c r="C149" s="22"/>
      <c r="D149" s="22"/>
      <c r="E149" s="22"/>
      <c r="F149" s="22"/>
    </row>
  </sheetData>
  <mergeCells count="2">
    <mergeCell ref="A2:B2"/>
    <mergeCell ref="A26:B26"/>
  </mergeCells>
  <pageMargins left="0.28999999999999998" right="0.18" top="1" bottom="1" header="0.5" footer="0.5"/>
  <pageSetup paperSize="9" scale="9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2:N39"/>
  <sheetViews>
    <sheetView workbookViewId="0">
      <selection activeCell="B3" sqref="B3:B5"/>
    </sheetView>
  </sheetViews>
  <sheetFormatPr defaultRowHeight="11.25" x14ac:dyDescent="0.15"/>
  <cols>
    <col min="1" max="1" width="9.140625" style="817"/>
    <col min="2" max="2" width="39.42578125" style="817" customWidth="1"/>
    <col min="3" max="4" width="16" style="817" customWidth="1"/>
    <col min="5" max="5" width="16.7109375" style="817" customWidth="1"/>
    <col min="6" max="9" width="15.7109375" style="817" customWidth="1"/>
    <col min="10" max="11" width="9.140625" style="817"/>
    <col min="12" max="14" width="11.5703125" style="817" bestFit="1" customWidth="1"/>
    <col min="15" max="16384" width="9.140625" style="817"/>
  </cols>
  <sheetData>
    <row r="2" spans="2:14" ht="15.95" customHeight="1" x14ac:dyDescent="0.15">
      <c r="B2" s="860" t="s">
        <v>5</v>
      </c>
      <c r="C2" s="859"/>
      <c r="D2" s="859"/>
      <c r="E2" s="859"/>
      <c r="F2" s="859"/>
      <c r="G2" s="859"/>
      <c r="H2" s="859"/>
      <c r="I2" s="859"/>
    </row>
    <row r="3" spans="2:14" ht="15.95" customHeight="1" x14ac:dyDescent="0.15">
      <c r="B3" s="1003" t="s">
        <v>606</v>
      </c>
      <c r="C3" s="1004" t="s">
        <v>605</v>
      </c>
      <c r="D3" s="1005">
        <v>0</v>
      </c>
      <c r="E3" s="1006">
        <v>0</v>
      </c>
      <c r="F3" s="1010" t="s">
        <v>604</v>
      </c>
      <c r="G3" s="1011"/>
      <c r="H3" s="1012"/>
      <c r="I3" s="1003" t="s">
        <v>603</v>
      </c>
    </row>
    <row r="4" spans="2:14" ht="30" customHeight="1" x14ac:dyDescent="0.15">
      <c r="B4" s="1003" t="s">
        <v>602</v>
      </c>
      <c r="C4" s="1007" t="s">
        <v>600</v>
      </c>
      <c r="D4" s="1007" t="s">
        <v>599</v>
      </c>
      <c r="E4" s="1008" t="s">
        <v>598</v>
      </c>
      <c r="F4" s="1013"/>
      <c r="G4" s="1013"/>
      <c r="H4" s="1014"/>
      <c r="I4" s="1003" t="s">
        <v>601</v>
      </c>
    </row>
    <row r="5" spans="2:14" ht="30" customHeight="1" x14ac:dyDescent="0.15">
      <c r="B5" s="1003">
        <v>0</v>
      </c>
      <c r="C5" s="1003" t="s">
        <v>600</v>
      </c>
      <c r="D5" s="1003" t="s">
        <v>599</v>
      </c>
      <c r="E5" s="1009" t="s">
        <v>598</v>
      </c>
      <c r="F5" s="858" t="s">
        <v>597</v>
      </c>
      <c r="G5" s="857" t="s">
        <v>596</v>
      </c>
      <c r="H5" s="856" t="s">
        <v>595</v>
      </c>
      <c r="I5" s="1003">
        <v>0</v>
      </c>
    </row>
    <row r="6" spans="2:14" ht="12" thickBot="1" x14ac:dyDescent="0.2">
      <c r="B6" s="855"/>
      <c r="C6" s="854">
        <v>1</v>
      </c>
      <c r="D6" s="854">
        <v>2</v>
      </c>
      <c r="E6" s="854">
        <v>3</v>
      </c>
      <c r="F6" s="854">
        <v>4</v>
      </c>
      <c r="G6" s="854">
        <v>5</v>
      </c>
      <c r="H6" s="854">
        <v>6</v>
      </c>
      <c r="I6" s="853">
        <v>7</v>
      </c>
    </row>
    <row r="7" spans="2:14" ht="15.95" customHeight="1" thickBot="1" x14ac:dyDescent="0.2">
      <c r="B7" s="821" t="s">
        <v>594</v>
      </c>
      <c r="C7" s="852">
        <v>35123709</v>
      </c>
      <c r="D7" s="851">
        <f t="shared" ref="D7:I7" si="0">SUM(D8:D11)</f>
        <v>7428749</v>
      </c>
      <c r="E7" s="851">
        <f t="shared" si="0"/>
        <v>26141678</v>
      </c>
      <c r="F7" s="851">
        <f t="shared" si="0"/>
        <v>0</v>
      </c>
      <c r="G7" s="851">
        <f t="shared" si="0"/>
        <v>0</v>
      </c>
      <c r="H7" s="851">
        <f t="shared" si="0"/>
        <v>0</v>
      </c>
      <c r="I7" s="850">
        <f t="shared" si="0"/>
        <v>26141678</v>
      </c>
    </row>
    <row r="8" spans="2:14" ht="15.95" customHeight="1" x14ac:dyDescent="0.15">
      <c r="B8" s="849" t="s">
        <v>593</v>
      </c>
      <c r="C8" s="848">
        <f>'Nota 23 Inwestycyjne pap. wart.'!E8</f>
        <v>1816077</v>
      </c>
      <c r="D8" s="847">
        <v>0</v>
      </c>
      <c r="E8" s="847">
        <f>C8</f>
        <v>1816077</v>
      </c>
      <c r="F8" s="847">
        <v>0</v>
      </c>
      <c r="G8" s="847">
        <v>0</v>
      </c>
      <c r="H8" s="847">
        <v>0</v>
      </c>
      <c r="I8" s="846">
        <f t="shared" ref="I8:I16" si="1">E8+H8</f>
        <v>1816077</v>
      </c>
    </row>
    <row r="9" spans="2:14" ht="15.95" customHeight="1" x14ac:dyDescent="0.15">
      <c r="B9" s="845" t="s">
        <v>592</v>
      </c>
      <c r="C9" s="827">
        <f>'Nota 19 PDO '!E6+'Nota 23 Inwestycyjne pap. wart.'!E6</f>
        <v>31754350</v>
      </c>
      <c r="D9" s="844">
        <f>'Nota 19 PDO '!D6+'Nota 23 Inwestycyjne pap. wart.'!D6</f>
        <v>7428749</v>
      </c>
      <c r="E9" s="830">
        <f>C9-D9</f>
        <v>24325601</v>
      </c>
      <c r="F9" s="830"/>
      <c r="G9" s="830"/>
      <c r="H9" s="844"/>
      <c r="I9" s="829">
        <f t="shared" si="1"/>
        <v>24325601</v>
      </c>
    </row>
    <row r="10" spans="2:14" ht="15.95" customHeight="1" thickBot="1" x14ac:dyDescent="0.2">
      <c r="B10" s="843" t="s">
        <v>591</v>
      </c>
      <c r="C10" s="824">
        <v>0</v>
      </c>
      <c r="D10" s="841">
        <v>0</v>
      </c>
      <c r="E10" s="842">
        <v>0</v>
      </c>
      <c r="F10" s="841">
        <v>0</v>
      </c>
      <c r="G10" s="841">
        <v>0</v>
      </c>
      <c r="H10" s="841">
        <v>0</v>
      </c>
      <c r="I10" s="840">
        <f t="shared" si="1"/>
        <v>0</v>
      </c>
    </row>
    <row r="11" spans="2:14" ht="15.95" customHeight="1" thickBot="1" x14ac:dyDescent="0.2">
      <c r="B11" s="839" t="s">
        <v>590</v>
      </c>
      <c r="C11" s="838">
        <f>'Nota 19 PDO '!E9+'Nota 23 Inwestycyjne pap. wart.'!E9</f>
        <v>1553282</v>
      </c>
      <c r="D11" s="837">
        <v>0</v>
      </c>
      <c r="E11" s="837"/>
      <c r="F11" s="837">
        <v>0</v>
      </c>
      <c r="G11" s="837">
        <v>0</v>
      </c>
      <c r="H11" s="837">
        <v>0</v>
      </c>
      <c r="I11" s="836">
        <f t="shared" si="1"/>
        <v>0</v>
      </c>
    </row>
    <row r="12" spans="2:14" ht="30" customHeight="1" x14ac:dyDescent="0.15">
      <c r="B12" s="835" t="s">
        <v>589</v>
      </c>
      <c r="C12" s="834">
        <v>457816</v>
      </c>
      <c r="D12" s="833">
        <v>457816</v>
      </c>
      <c r="E12" s="833">
        <f>C12-D12</f>
        <v>0</v>
      </c>
      <c r="F12" s="833">
        <v>0</v>
      </c>
      <c r="G12" s="833">
        <v>0</v>
      </c>
      <c r="H12" s="833">
        <v>0</v>
      </c>
      <c r="I12" s="832">
        <f t="shared" si="1"/>
        <v>0</v>
      </c>
    </row>
    <row r="13" spans="2:14" ht="15.95" customHeight="1" x14ac:dyDescent="0.2">
      <c r="B13" s="831" t="s">
        <v>181</v>
      </c>
      <c r="C13" s="827">
        <f>'Nota 22 Kredyty'!C19</f>
        <v>81763277</v>
      </c>
      <c r="D13" s="827">
        <v>7652914</v>
      </c>
      <c r="E13" s="830">
        <v>0</v>
      </c>
      <c r="F13" s="830">
        <v>0</v>
      </c>
      <c r="G13" s="830">
        <v>0</v>
      </c>
      <c r="H13" s="830">
        <v>0</v>
      </c>
      <c r="I13" s="829">
        <f t="shared" si="1"/>
        <v>0</v>
      </c>
      <c r="L13" s="862"/>
      <c r="M13" s="862"/>
      <c r="N13" s="862"/>
    </row>
    <row r="14" spans="2:14" ht="15.95" customHeight="1" x14ac:dyDescent="0.15">
      <c r="B14" s="828" t="s">
        <v>588</v>
      </c>
      <c r="C14" s="827">
        <v>0</v>
      </c>
      <c r="D14" s="827">
        <v>0</v>
      </c>
      <c r="E14" s="827">
        <v>0</v>
      </c>
      <c r="F14" s="827">
        <v>0</v>
      </c>
      <c r="G14" s="827">
        <v>0</v>
      </c>
      <c r="H14" s="827">
        <v>0</v>
      </c>
      <c r="I14" s="826">
        <f t="shared" si="1"/>
        <v>0</v>
      </c>
    </row>
    <row r="15" spans="2:14" ht="15.95" customHeight="1" thickBot="1" x14ac:dyDescent="0.2">
      <c r="B15" s="825" t="s">
        <v>587</v>
      </c>
      <c r="C15" s="824">
        <v>16398700</v>
      </c>
      <c r="D15" s="823">
        <v>0</v>
      </c>
      <c r="E15" s="823">
        <v>0</v>
      </c>
      <c r="F15" s="823">
        <v>0</v>
      </c>
      <c r="G15" s="823">
        <v>0</v>
      </c>
      <c r="H15" s="823">
        <v>0</v>
      </c>
      <c r="I15" s="822">
        <f t="shared" si="1"/>
        <v>0</v>
      </c>
    </row>
    <row r="16" spans="2:14" ht="15.95" customHeight="1" thickBot="1" x14ac:dyDescent="0.25">
      <c r="B16" s="821" t="s">
        <v>39</v>
      </c>
      <c r="C16" s="820">
        <f>C7+C12+C13+C15</f>
        <v>133743502</v>
      </c>
      <c r="D16" s="820">
        <f>D7+D12+D13</f>
        <v>15539479</v>
      </c>
      <c r="E16" s="820">
        <f>E7</f>
        <v>26141678</v>
      </c>
      <c r="F16" s="820">
        <f>F7</f>
        <v>0</v>
      </c>
      <c r="G16" s="820">
        <f>G7</f>
        <v>0</v>
      </c>
      <c r="H16" s="820">
        <f>H7</f>
        <v>0</v>
      </c>
      <c r="I16" s="819">
        <f t="shared" si="1"/>
        <v>26141678</v>
      </c>
    </row>
    <row r="18" spans="2:9" x14ac:dyDescent="0.15">
      <c r="C18" s="861">
        <f>C16-[1]Bilans!D17</f>
        <v>0</v>
      </c>
      <c r="D18" s="818"/>
    </row>
    <row r="20" spans="2:9" ht="15.95" customHeight="1" x14ac:dyDescent="0.15">
      <c r="B20" s="860" t="s">
        <v>4</v>
      </c>
      <c r="C20" s="859"/>
      <c r="D20" s="859"/>
      <c r="E20" s="859"/>
      <c r="F20" s="859"/>
      <c r="G20" s="859"/>
      <c r="H20" s="859"/>
      <c r="I20" s="859"/>
    </row>
    <row r="21" spans="2:9" ht="15.95" customHeight="1" x14ac:dyDescent="0.15">
      <c r="B21" s="1003" t="s">
        <v>606</v>
      </c>
      <c r="C21" s="1004" t="s">
        <v>605</v>
      </c>
      <c r="D21" s="1005">
        <v>0</v>
      </c>
      <c r="E21" s="1006">
        <v>0</v>
      </c>
      <c r="F21" s="1010" t="s">
        <v>604</v>
      </c>
      <c r="G21" s="1011"/>
      <c r="H21" s="1012"/>
      <c r="I21" s="1003" t="s">
        <v>603</v>
      </c>
    </row>
    <row r="22" spans="2:9" ht="30" customHeight="1" x14ac:dyDescent="0.15">
      <c r="B22" s="1003" t="s">
        <v>602</v>
      </c>
      <c r="C22" s="1007" t="s">
        <v>600</v>
      </c>
      <c r="D22" s="1007" t="s">
        <v>599</v>
      </c>
      <c r="E22" s="1008" t="s">
        <v>598</v>
      </c>
      <c r="F22" s="1013"/>
      <c r="G22" s="1013"/>
      <c r="H22" s="1014"/>
      <c r="I22" s="1003" t="s">
        <v>601</v>
      </c>
    </row>
    <row r="23" spans="2:9" ht="30" customHeight="1" x14ac:dyDescent="0.15">
      <c r="B23" s="1003">
        <v>0</v>
      </c>
      <c r="C23" s="1003" t="s">
        <v>600</v>
      </c>
      <c r="D23" s="1003" t="s">
        <v>599</v>
      </c>
      <c r="E23" s="1009" t="s">
        <v>598</v>
      </c>
      <c r="F23" s="858" t="s">
        <v>597</v>
      </c>
      <c r="G23" s="857" t="s">
        <v>596</v>
      </c>
      <c r="H23" s="856" t="s">
        <v>595</v>
      </c>
      <c r="I23" s="1003">
        <v>0</v>
      </c>
    </row>
    <row r="24" spans="2:9" ht="12" thickBot="1" x14ac:dyDescent="0.2">
      <c r="B24" s="855"/>
      <c r="C24" s="854">
        <v>1</v>
      </c>
      <c r="D24" s="854">
        <v>2</v>
      </c>
      <c r="E24" s="854">
        <v>3</v>
      </c>
      <c r="F24" s="854">
        <v>4</v>
      </c>
      <c r="G24" s="854">
        <v>5</v>
      </c>
      <c r="H24" s="854">
        <v>6</v>
      </c>
      <c r="I24" s="853">
        <v>7</v>
      </c>
    </row>
    <row r="25" spans="2:9" ht="15.95" customHeight="1" thickBot="1" x14ac:dyDescent="0.2">
      <c r="B25" s="821" t="s">
        <v>594</v>
      </c>
      <c r="C25" s="852">
        <v>31088265</v>
      </c>
      <c r="D25" s="851">
        <f t="shared" ref="D25:I25" si="2">SUM(D26:D29)</f>
        <v>5413178</v>
      </c>
      <c r="E25" s="851">
        <f t="shared" si="2"/>
        <v>24486270</v>
      </c>
      <c r="F25" s="851">
        <f t="shared" si="2"/>
        <v>1571852</v>
      </c>
      <c r="G25" s="851">
        <f t="shared" si="2"/>
        <v>668863</v>
      </c>
      <c r="H25" s="851">
        <f t="shared" si="2"/>
        <v>902989</v>
      </c>
      <c r="I25" s="850">
        <f t="shared" si="2"/>
        <v>25389259</v>
      </c>
    </row>
    <row r="26" spans="2:9" ht="15.95" customHeight="1" x14ac:dyDescent="0.15">
      <c r="B26" s="849" t="s">
        <v>593</v>
      </c>
      <c r="C26" s="848">
        <v>7442384</v>
      </c>
      <c r="D26" s="847">
        <v>0</v>
      </c>
      <c r="E26" s="847">
        <v>7442384</v>
      </c>
      <c r="F26" s="847">
        <v>0</v>
      </c>
      <c r="G26" s="847">
        <v>0</v>
      </c>
      <c r="H26" s="847">
        <v>0</v>
      </c>
      <c r="I26" s="846">
        <f>E26+H26</f>
        <v>7442384</v>
      </c>
    </row>
    <row r="27" spans="2:9" ht="15.95" customHeight="1" x14ac:dyDescent="0.15">
      <c r="B27" s="845" t="s">
        <v>592</v>
      </c>
      <c r="C27" s="827">
        <v>22417117</v>
      </c>
      <c r="D27" s="844">
        <v>5413178</v>
      </c>
      <c r="E27" s="830">
        <v>17003939</v>
      </c>
      <c r="F27" s="830">
        <v>1571852</v>
      </c>
      <c r="G27" s="830">
        <v>668863</v>
      </c>
      <c r="H27" s="844">
        <v>902989</v>
      </c>
      <c r="I27" s="829">
        <f>E27+H27</f>
        <v>17906928</v>
      </c>
    </row>
    <row r="28" spans="2:9" ht="15.95" customHeight="1" thickBot="1" x14ac:dyDescent="0.2">
      <c r="B28" s="843" t="s">
        <v>591</v>
      </c>
      <c r="C28" s="824">
        <v>0</v>
      </c>
      <c r="D28" s="841">
        <v>0</v>
      </c>
      <c r="E28" s="842">
        <v>0</v>
      </c>
      <c r="F28" s="841">
        <v>0</v>
      </c>
      <c r="G28" s="841">
        <v>0</v>
      </c>
      <c r="H28" s="841">
        <v>0</v>
      </c>
      <c r="I28" s="840">
        <f>E28+H28</f>
        <v>0</v>
      </c>
    </row>
    <row r="29" spans="2:9" ht="15.95" customHeight="1" thickBot="1" x14ac:dyDescent="0.2">
      <c r="B29" s="839" t="s">
        <v>590</v>
      </c>
      <c r="C29" s="838">
        <v>1228764</v>
      </c>
      <c r="D29" s="837">
        <v>0</v>
      </c>
      <c r="E29" s="837">
        <v>39947</v>
      </c>
      <c r="F29" s="837">
        <v>0</v>
      </c>
      <c r="G29" s="837">
        <v>0</v>
      </c>
      <c r="H29" s="837">
        <v>0</v>
      </c>
      <c r="I29" s="836">
        <f>E29+H29</f>
        <v>39947</v>
      </c>
    </row>
    <row r="30" spans="2:9" ht="30" customHeight="1" x14ac:dyDescent="0.15">
      <c r="B30" s="835" t="s">
        <v>589</v>
      </c>
      <c r="C30" s="834">
        <v>400273</v>
      </c>
      <c r="D30" s="833">
        <v>400273</v>
      </c>
      <c r="E30" s="833">
        <v>0</v>
      </c>
      <c r="F30" s="833">
        <v>0</v>
      </c>
      <c r="G30" s="833">
        <v>0</v>
      </c>
      <c r="H30" s="833">
        <v>0</v>
      </c>
      <c r="I30" s="832">
        <v>0</v>
      </c>
    </row>
    <row r="31" spans="2:9" ht="15.95" customHeight="1" x14ac:dyDescent="0.15">
      <c r="B31" s="831" t="s">
        <v>181</v>
      </c>
      <c r="C31" s="827">
        <v>78433546</v>
      </c>
      <c r="D31" s="827">
        <v>5768960</v>
      </c>
      <c r="E31" s="830">
        <v>0</v>
      </c>
      <c r="F31" s="830">
        <v>0</v>
      </c>
      <c r="G31" s="830">
        <v>0</v>
      </c>
      <c r="H31" s="830">
        <v>0</v>
      </c>
      <c r="I31" s="829">
        <v>0</v>
      </c>
    </row>
    <row r="32" spans="2:9" ht="15.95" customHeight="1" x14ac:dyDescent="0.15">
      <c r="B32" s="828" t="s">
        <v>588</v>
      </c>
      <c r="C32" s="827">
        <v>0</v>
      </c>
      <c r="D32" s="827">
        <v>0</v>
      </c>
      <c r="E32" s="827">
        <v>0</v>
      </c>
      <c r="F32" s="827">
        <v>0</v>
      </c>
      <c r="G32" s="827">
        <v>0</v>
      </c>
      <c r="H32" s="827">
        <v>0</v>
      </c>
      <c r="I32" s="826">
        <v>0</v>
      </c>
    </row>
    <row r="33" spans="2:9" ht="15.95" customHeight="1" thickBot="1" x14ac:dyDescent="0.2">
      <c r="B33" s="825" t="s">
        <v>587</v>
      </c>
      <c r="C33" s="824">
        <v>13600937</v>
      </c>
      <c r="D33" s="823">
        <v>0</v>
      </c>
      <c r="E33" s="823">
        <v>0</v>
      </c>
      <c r="F33" s="823">
        <v>0</v>
      </c>
      <c r="G33" s="823">
        <v>0</v>
      </c>
      <c r="H33" s="823">
        <v>0</v>
      </c>
      <c r="I33" s="822">
        <v>0</v>
      </c>
    </row>
    <row r="34" spans="2:9" ht="15.95" customHeight="1" thickBot="1" x14ac:dyDescent="0.25">
      <c r="B34" s="821" t="s">
        <v>39</v>
      </c>
      <c r="C34" s="820">
        <f>C25+C30+C31+C33</f>
        <v>123523021</v>
      </c>
      <c r="D34" s="820">
        <f>D25+D30+D31</f>
        <v>11582411</v>
      </c>
      <c r="E34" s="820">
        <f>E25</f>
        <v>24486270</v>
      </c>
      <c r="F34" s="820">
        <f>F25</f>
        <v>1571852</v>
      </c>
      <c r="G34" s="820">
        <f>G25</f>
        <v>668863</v>
      </c>
      <c r="H34" s="820">
        <f>H25</f>
        <v>902989</v>
      </c>
      <c r="I34" s="819">
        <f>I25</f>
        <v>25389259</v>
      </c>
    </row>
    <row r="39" spans="2:9" x14ac:dyDescent="0.15">
      <c r="C39" s="818"/>
      <c r="D39" s="818"/>
    </row>
  </sheetData>
  <mergeCells count="14">
    <mergeCell ref="B3:B5"/>
    <mergeCell ref="C3:E3"/>
    <mergeCell ref="I3:I5"/>
    <mergeCell ref="C4:C5"/>
    <mergeCell ref="D4:D5"/>
    <mergeCell ref="E4:E5"/>
    <mergeCell ref="F3:H4"/>
    <mergeCell ref="B21:B23"/>
    <mergeCell ref="C21:E21"/>
    <mergeCell ref="I21:I23"/>
    <mergeCell ref="C22:C23"/>
    <mergeCell ref="D22:D23"/>
    <mergeCell ref="E22:E23"/>
    <mergeCell ref="F21:H22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BK69"/>
  <sheetViews>
    <sheetView workbookViewId="0">
      <selection activeCell="E76" sqref="E76"/>
    </sheetView>
  </sheetViews>
  <sheetFormatPr defaultRowHeight="10.5" x14ac:dyDescent="0.2"/>
  <cols>
    <col min="1" max="1" width="4.7109375" style="864" customWidth="1"/>
    <col min="2" max="2" width="18.85546875" style="863" customWidth="1"/>
    <col min="3" max="3" width="17.5703125" style="863" customWidth="1"/>
    <col min="4" max="4" width="13.7109375" style="863" bestFit="1" customWidth="1"/>
    <col min="5" max="5" width="13.140625" style="863" bestFit="1" customWidth="1"/>
    <col min="6" max="6" width="15.42578125" style="863" bestFit="1" customWidth="1"/>
    <col min="7" max="7" width="24.85546875" style="863" customWidth="1"/>
    <col min="8" max="8" width="11" style="863" customWidth="1"/>
    <col min="9" max="9" width="26.7109375" style="863" bestFit="1" customWidth="1"/>
    <col min="10" max="10" width="9.140625" style="863"/>
    <col min="11" max="11" width="12.28515625" style="863" customWidth="1"/>
    <col min="12" max="16384" width="9.140625" style="863"/>
  </cols>
  <sheetData>
    <row r="1" spans="1:63" x14ac:dyDescent="0.2">
      <c r="A1" s="912"/>
    </row>
    <row r="2" spans="1:63" ht="15" customHeight="1" thickBot="1" x14ac:dyDescent="0.25">
      <c r="A2" s="911"/>
      <c r="B2" s="910" t="s">
        <v>658</v>
      </c>
      <c r="C2" s="909"/>
      <c r="D2" s="909"/>
      <c r="E2" s="909"/>
      <c r="F2" s="909"/>
      <c r="G2" s="909"/>
      <c r="H2" s="908"/>
    </row>
    <row r="3" spans="1:63" ht="45" customHeight="1" x14ac:dyDescent="0.2">
      <c r="A3" s="907"/>
      <c r="B3" s="906" t="s">
        <v>657</v>
      </c>
      <c r="C3" s="906" t="s">
        <v>656</v>
      </c>
      <c r="D3" s="906" t="s">
        <v>655</v>
      </c>
      <c r="E3" s="906" t="s">
        <v>654</v>
      </c>
      <c r="F3" s="906" t="s">
        <v>653</v>
      </c>
      <c r="G3" s="906" t="s">
        <v>652</v>
      </c>
      <c r="H3" s="905" t="s">
        <v>651</v>
      </c>
    </row>
    <row r="4" spans="1:63" s="899" customFormat="1" ht="15.95" customHeight="1" thickBot="1" x14ac:dyDescent="0.25">
      <c r="A4" s="894"/>
      <c r="B4" s="904" t="s">
        <v>650</v>
      </c>
      <c r="C4" s="903" t="s">
        <v>631</v>
      </c>
      <c r="D4" s="903" t="s">
        <v>631</v>
      </c>
      <c r="E4" s="902">
        <f>9970000+2500+6000+3500+500+5500</f>
        <v>9988000</v>
      </c>
      <c r="F4" s="902">
        <f t="shared" ref="F4:F22" si="0">E4*4</f>
        <v>39952000</v>
      </c>
      <c r="G4" s="901" t="s">
        <v>630</v>
      </c>
      <c r="H4" s="900">
        <v>1986</v>
      </c>
      <c r="I4" s="864"/>
      <c r="J4" s="864"/>
      <c r="K4" s="864"/>
      <c r="L4" s="864"/>
      <c r="M4" s="864"/>
      <c r="N4" s="864"/>
      <c r="O4" s="864"/>
      <c r="P4" s="864"/>
      <c r="Q4" s="864"/>
      <c r="R4" s="864"/>
      <c r="S4" s="864"/>
      <c r="T4" s="864"/>
      <c r="U4" s="864"/>
      <c r="V4" s="864"/>
      <c r="W4" s="864"/>
      <c r="X4" s="864"/>
      <c r="Y4" s="864"/>
      <c r="Z4" s="864"/>
      <c r="AA4" s="864"/>
      <c r="AB4" s="864"/>
      <c r="AC4" s="864"/>
      <c r="AD4" s="864"/>
      <c r="AE4" s="864"/>
      <c r="AF4" s="864"/>
      <c r="AG4" s="864"/>
      <c r="AH4" s="864"/>
      <c r="AI4" s="864"/>
      <c r="AJ4" s="864"/>
      <c r="AK4" s="864"/>
      <c r="AL4" s="864"/>
      <c r="AM4" s="864"/>
      <c r="AN4" s="864"/>
      <c r="AO4" s="864"/>
      <c r="AP4" s="864"/>
      <c r="AQ4" s="864"/>
      <c r="AR4" s="864"/>
      <c r="AS4" s="864"/>
      <c r="AT4" s="864"/>
      <c r="AU4" s="864"/>
      <c r="AV4" s="864"/>
      <c r="AW4" s="864"/>
      <c r="AX4" s="864"/>
      <c r="AY4" s="864"/>
      <c r="AZ4" s="864"/>
      <c r="BA4" s="864"/>
      <c r="BB4" s="864"/>
      <c r="BC4" s="864"/>
      <c r="BD4" s="864"/>
      <c r="BE4" s="864"/>
      <c r="BF4" s="864"/>
      <c r="BG4" s="864"/>
      <c r="BH4" s="864"/>
      <c r="BI4" s="864"/>
      <c r="BJ4" s="864"/>
      <c r="BK4" s="864"/>
    </row>
    <row r="5" spans="1:63" s="864" customFormat="1" ht="15.95" customHeight="1" thickBot="1" x14ac:dyDescent="0.25">
      <c r="A5" s="894"/>
      <c r="B5" s="898" t="s">
        <v>649</v>
      </c>
      <c r="C5" s="893" t="s">
        <v>631</v>
      </c>
      <c r="D5" s="893" t="s">
        <v>631</v>
      </c>
      <c r="E5" s="891">
        <f>30000-2500-6000-3500-500-5500</f>
        <v>12000</v>
      </c>
      <c r="F5" s="891">
        <f t="shared" si="0"/>
        <v>48000</v>
      </c>
      <c r="G5" s="890" t="s">
        <v>630</v>
      </c>
      <c r="H5" s="897">
        <v>1986</v>
      </c>
    </row>
    <row r="6" spans="1:63" s="864" customFormat="1" ht="15.95" customHeight="1" thickBot="1" x14ac:dyDescent="0.25">
      <c r="A6" s="894"/>
      <c r="B6" s="898" t="s">
        <v>632</v>
      </c>
      <c r="C6" s="893" t="s">
        <v>631</v>
      </c>
      <c r="D6" s="893" t="s">
        <v>631</v>
      </c>
      <c r="E6" s="891">
        <v>2500000</v>
      </c>
      <c r="F6" s="891">
        <f t="shared" si="0"/>
        <v>10000000</v>
      </c>
      <c r="G6" s="890" t="s">
        <v>630</v>
      </c>
      <c r="H6" s="897" t="s">
        <v>648</v>
      </c>
    </row>
    <row r="7" spans="1:63" s="864" customFormat="1" ht="15.95" customHeight="1" thickBot="1" x14ac:dyDescent="0.25">
      <c r="A7" s="894"/>
      <c r="B7" s="898" t="s">
        <v>632</v>
      </c>
      <c r="C7" s="893" t="s">
        <v>631</v>
      </c>
      <c r="D7" s="893" t="s">
        <v>631</v>
      </c>
      <c r="E7" s="891">
        <v>2000000</v>
      </c>
      <c r="F7" s="891">
        <f t="shared" si="0"/>
        <v>8000000</v>
      </c>
      <c r="G7" s="890" t="s">
        <v>630</v>
      </c>
      <c r="H7" s="897" t="s">
        <v>647</v>
      </c>
    </row>
    <row r="8" spans="1:63" s="864" customFormat="1" ht="15.95" customHeight="1" thickBot="1" x14ac:dyDescent="0.25">
      <c r="A8" s="894"/>
      <c r="B8" s="898" t="s">
        <v>632</v>
      </c>
      <c r="C8" s="893" t="s">
        <v>631</v>
      </c>
      <c r="D8" s="893" t="s">
        <v>631</v>
      </c>
      <c r="E8" s="891">
        <v>4500000</v>
      </c>
      <c r="F8" s="891">
        <f t="shared" si="0"/>
        <v>18000000</v>
      </c>
      <c r="G8" s="890" t="s">
        <v>630</v>
      </c>
      <c r="H8" s="897" t="s">
        <v>646</v>
      </c>
    </row>
    <row r="9" spans="1:63" s="864" customFormat="1" ht="15.95" customHeight="1" thickBot="1" x14ac:dyDescent="0.25">
      <c r="A9" s="894"/>
      <c r="B9" s="898" t="s">
        <v>632</v>
      </c>
      <c r="C9" s="893" t="s">
        <v>631</v>
      </c>
      <c r="D9" s="893" t="s">
        <v>631</v>
      </c>
      <c r="E9" s="891">
        <v>3800000</v>
      </c>
      <c r="F9" s="891">
        <f t="shared" si="0"/>
        <v>15200000</v>
      </c>
      <c r="G9" s="890" t="s">
        <v>630</v>
      </c>
      <c r="H9" s="897" t="s">
        <v>645</v>
      </c>
    </row>
    <row r="10" spans="1:63" s="864" customFormat="1" ht="15.95" customHeight="1" thickBot="1" x14ac:dyDescent="0.25">
      <c r="A10" s="894"/>
      <c r="B10" s="898" t="s">
        <v>632</v>
      </c>
      <c r="C10" s="893" t="s">
        <v>631</v>
      </c>
      <c r="D10" s="893" t="s">
        <v>631</v>
      </c>
      <c r="E10" s="891">
        <v>170500</v>
      </c>
      <c r="F10" s="891">
        <f t="shared" si="0"/>
        <v>682000</v>
      </c>
      <c r="G10" s="890" t="s">
        <v>630</v>
      </c>
      <c r="H10" s="897" t="s">
        <v>644</v>
      </c>
    </row>
    <row r="11" spans="1:63" s="864" customFormat="1" ht="15.95" customHeight="1" thickBot="1" x14ac:dyDescent="0.25">
      <c r="A11" s="894"/>
      <c r="B11" s="898" t="s">
        <v>632</v>
      </c>
      <c r="C11" s="893" t="s">
        <v>631</v>
      </c>
      <c r="D11" s="893" t="s">
        <v>631</v>
      </c>
      <c r="E11" s="891">
        <v>5742625</v>
      </c>
      <c r="F11" s="891">
        <f t="shared" si="0"/>
        <v>22970500</v>
      </c>
      <c r="G11" s="890" t="s">
        <v>630</v>
      </c>
      <c r="H11" s="897" t="s">
        <v>643</v>
      </c>
    </row>
    <row r="12" spans="1:63" s="864" customFormat="1" ht="15.95" customHeight="1" thickBot="1" x14ac:dyDescent="0.25">
      <c r="A12" s="894"/>
      <c r="B12" s="898" t="s">
        <v>632</v>
      </c>
      <c r="C12" s="893" t="s">
        <v>631</v>
      </c>
      <c r="D12" s="893" t="s">
        <v>631</v>
      </c>
      <c r="E12" s="891">
        <v>270847</v>
      </c>
      <c r="F12" s="891">
        <f t="shared" si="0"/>
        <v>1083388</v>
      </c>
      <c r="G12" s="890" t="s">
        <v>630</v>
      </c>
      <c r="H12" s="897" t="s">
        <v>642</v>
      </c>
    </row>
    <row r="13" spans="1:63" s="864" customFormat="1" ht="15.95" customHeight="1" thickBot="1" x14ac:dyDescent="0.25">
      <c r="A13" s="894"/>
      <c r="B13" s="194" t="s">
        <v>632</v>
      </c>
      <c r="C13" s="893" t="s">
        <v>631</v>
      </c>
      <c r="D13" s="893" t="s">
        <v>631</v>
      </c>
      <c r="E13" s="892">
        <v>532063</v>
      </c>
      <c r="F13" s="891">
        <f t="shared" si="0"/>
        <v>2128252</v>
      </c>
      <c r="G13" s="890" t="s">
        <v>630</v>
      </c>
      <c r="H13" s="897" t="s">
        <v>641</v>
      </c>
    </row>
    <row r="14" spans="1:63" ht="15.95" customHeight="1" thickBot="1" x14ac:dyDescent="0.25">
      <c r="A14" s="894"/>
      <c r="B14" s="194" t="s">
        <v>632</v>
      </c>
      <c r="C14" s="893" t="s">
        <v>631</v>
      </c>
      <c r="D14" s="893" t="s">
        <v>631</v>
      </c>
      <c r="E14" s="892">
        <v>144633</v>
      </c>
      <c r="F14" s="891">
        <f t="shared" si="0"/>
        <v>578532</v>
      </c>
      <c r="G14" s="890" t="s">
        <v>630</v>
      </c>
      <c r="H14" s="897" t="s">
        <v>640</v>
      </c>
    </row>
    <row r="15" spans="1:63" ht="15.95" customHeight="1" thickBot="1" x14ac:dyDescent="0.25">
      <c r="A15" s="894"/>
      <c r="B15" s="194" t="s">
        <v>632</v>
      </c>
      <c r="C15" s="893" t="s">
        <v>631</v>
      </c>
      <c r="D15" s="893" t="s">
        <v>631</v>
      </c>
      <c r="E15" s="892">
        <v>30214</v>
      </c>
      <c r="F15" s="891">
        <f t="shared" si="0"/>
        <v>120856</v>
      </c>
      <c r="G15" s="890" t="s">
        <v>630</v>
      </c>
      <c r="H15" s="897" t="s">
        <v>639</v>
      </c>
    </row>
    <row r="16" spans="1:63" ht="15.95" customHeight="1" thickBot="1" x14ac:dyDescent="0.25">
      <c r="A16" s="894"/>
      <c r="B16" s="194" t="s">
        <v>632</v>
      </c>
      <c r="C16" s="893" t="s">
        <v>631</v>
      </c>
      <c r="D16" s="893" t="s">
        <v>631</v>
      </c>
      <c r="E16" s="892">
        <f>12386895+8897</f>
        <v>12395792</v>
      </c>
      <c r="F16" s="891">
        <f t="shared" si="0"/>
        <v>49583168</v>
      </c>
      <c r="G16" s="890" t="s">
        <v>630</v>
      </c>
      <c r="H16" s="897" t="s">
        <v>638</v>
      </c>
    </row>
    <row r="17" spans="1:8" ht="15.95" customHeight="1" thickBot="1" x14ac:dyDescent="0.25">
      <c r="A17" s="894"/>
      <c r="B17" s="194" t="s">
        <v>632</v>
      </c>
      <c r="C17" s="893" t="s">
        <v>631</v>
      </c>
      <c r="D17" s="893" t="s">
        <v>631</v>
      </c>
      <c r="E17" s="892">
        <f>15864+208</f>
        <v>16072</v>
      </c>
      <c r="F17" s="891">
        <f t="shared" si="0"/>
        <v>64288</v>
      </c>
      <c r="G17" s="890" t="s">
        <v>630</v>
      </c>
      <c r="H17" s="889" t="s">
        <v>637</v>
      </c>
    </row>
    <row r="18" spans="1:8" ht="15.95" customHeight="1" thickBot="1" x14ac:dyDescent="0.25">
      <c r="A18" s="894"/>
      <c r="B18" s="194" t="s">
        <v>632</v>
      </c>
      <c r="C18" s="893" t="s">
        <v>631</v>
      </c>
      <c r="D18" s="893" t="s">
        <v>631</v>
      </c>
      <c r="E18" s="892">
        <f>31610+2680+670+1170+100</f>
        <v>36230</v>
      </c>
      <c r="F18" s="891">
        <f t="shared" si="0"/>
        <v>144920</v>
      </c>
      <c r="G18" s="890" t="s">
        <v>630</v>
      </c>
      <c r="H18" s="889" t="s">
        <v>636</v>
      </c>
    </row>
    <row r="19" spans="1:8" ht="15.95" customHeight="1" thickBot="1" x14ac:dyDescent="0.25">
      <c r="A19" s="894"/>
      <c r="B19" s="194" t="s">
        <v>632</v>
      </c>
      <c r="C19" s="893" t="s">
        <v>631</v>
      </c>
      <c r="D19" s="893" t="s">
        <v>631</v>
      </c>
      <c r="E19" s="892">
        <v>35037</v>
      </c>
      <c r="F19" s="891">
        <f t="shared" si="0"/>
        <v>140148</v>
      </c>
      <c r="G19" s="890" t="s">
        <v>630</v>
      </c>
      <c r="H19" s="889" t="s">
        <v>635</v>
      </c>
    </row>
    <row r="20" spans="1:8" ht="15.95" customHeight="1" thickBot="1" x14ac:dyDescent="0.25">
      <c r="A20" s="894"/>
      <c r="B20" s="194" t="s">
        <v>632</v>
      </c>
      <c r="C20" s="893" t="s">
        <v>631</v>
      </c>
      <c r="D20" s="893" t="s">
        <v>631</v>
      </c>
      <c r="E20" s="892">
        <f>1545+31844+2655</f>
        <v>36044</v>
      </c>
      <c r="F20" s="891">
        <f t="shared" si="0"/>
        <v>144176</v>
      </c>
      <c r="G20" s="890" t="s">
        <v>630</v>
      </c>
      <c r="H20" s="889" t="s">
        <v>634</v>
      </c>
    </row>
    <row r="21" spans="1:8" ht="15.95" customHeight="1" thickBot="1" x14ac:dyDescent="0.25">
      <c r="A21" s="894"/>
      <c r="B21" s="194" t="s">
        <v>632</v>
      </c>
      <c r="C21" s="893" t="s">
        <v>631</v>
      </c>
      <c r="D21" s="893" t="s">
        <v>631</v>
      </c>
      <c r="E21" s="892">
        <f>100+18812+9568+387</f>
        <v>28867</v>
      </c>
      <c r="F21" s="891">
        <f t="shared" si="0"/>
        <v>115468</v>
      </c>
      <c r="G21" s="890" t="s">
        <v>630</v>
      </c>
      <c r="H21" s="889" t="s">
        <v>633</v>
      </c>
    </row>
    <row r="22" spans="1:8" ht="15.95" customHeight="1" thickBot="1" x14ac:dyDescent="0.25">
      <c r="A22" s="894"/>
      <c r="B22" s="194" t="s">
        <v>632</v>
      </c>
      <c r="C22" s="893" t="s">
        <v>631</v>
      </c>
      <c r="D22" s="893" t="s">
        <v>631</v>
      </c>
      <c r="E22" s="896">
        <f>15007+25324+872</f>
        <v>41203</v>
      </c>
      <c r="F22" s="895">
        <f t="shared" si="0"/>
        <v>164812</v>
      </c>
      <c r="G22" s="890" t="s">
        <v>630</v>
      </c>
      <c r="H22" s="889" t="s">
        <v>629</v>
      </c>
    </row>
    <row r="23" spans="1:8" ht="15.95" hidden="1" customHeight="1" thickBot="1" x14ac:dyDescent="0.25">
      <c r="A23" s="894"/>
      <c r="B23" s="194"/>
      <c r="C23" s="893"/>
      <c r="D23" s="893"/>
      <c r="E23" s="892"/>
      <c r="F23" s="891"/>
      <c r="G23" s="890"/>
      <c r="H23" s="889"/>
    </row>
    <row r="24" spans="1:8" ht="15.95" customHeight="1" thickBot="1" x14ac:dyDescent="0.25">
      <c r="A24" s="888"/>
      <c r="B24" s="887" t="s">
        <v>628</v>
      </c>
      <c r="C24" s="882"/>
      <c r="D24" s="882"/>
      <c r="E24" s="886">
        <f>SUM(E4:E23)</f>
        <v>42280127</v>
      </c>
      <c r="F24" s="881"/>
      <c r="G24" s="881"/>
      <c r="H24" s="880"/>
    </row>
    <row r="25" spans="1:8" ht="15.95" customHeight="1" thickBot="1" x14ac:dyDescent="0.25">
      <c r="A25" s="888"/>
      <c r="B25" s="887" t="s">
        <v>627</v>
      </c>
      <c r="C25" s="882"/>
      <c r="D25" s="882"/>
      <c r="E25" s="882"/>
      <c r="F25" s="886">
        <f>SUM(F4:F23)</f>
        <v>169120508</v>
      </c>
      <c r="G25" s="881"/>
      <c r="H25" s="880"/>
    </row>
    <row r="26" spans="1:8" ht="15.95" customHeight="1" thickBot="1" x14ac:dyDescent="0.25">
      <c r="A26" s="885"/>
      <c r="B26" s="884" t="s">
        <v>626</v>
      </c>
      <c r="C26" s="882"/>
      <c r="D26" s="883">
        <v>4</v>
      </c>
      <c r="E26" s="882"/>
      <c r="F26" s="882"/>
      <c r="G26" s="881"/>
      <c r="H26" s="880"/>
    </row>
    <row r="27" spans="1:8" x14ac:dyDescent="0.2">
      <c r="A27" s="879"/>
      <c r="B27" s="877"/>
      <c r="C27" s="877"/>
      <c r="D27" s="878"/>
      <c r="E27" s="877"/>
      <c r="F27" s="877"/>
      <c r="G27" s="864"/>
      <c r="H27" s="864"/>
    </row>
    <row r="28" spans="1:8" x14ac:dyDescent="0.2">
      <c r="A28" s="877"/>
      <c r="B28" s="877" t="s">
        <v>625</v>
      </c>
      <c r="C28" s="877"/>
      <c r="D28" s="878"/>
      <c r="E28" s="877"/>
      <c r="F28" s="877"/>
      <c r="G28" s="864"/>
      <c r="H28" s="864"/>
    </row>
    <row r="29" spans="1:8" x14ac:dyDescent="0.2">
      <c r="A29" s="877"/>
      <c r="B29" s="877"/>
      <c r="C29" s="877"/>
      <c r="D29" s="878"/>
      <c r="E29" s="877"/>
      <c r="F29" s="877"/>
      <c r="G29" s="864"/>
      <c r="H29" s="864"/>
    </row>
    <row r="30" spans="1:8" hidden="1" x14ac:dyDescent="0.2">
      <c r="F30" s="877"/>
      <c r="G30" s="864"/>
      <c r="H30" s="864"/>
    </row>
    <row r="31" spans="1:8" hidden="1" x14ac:dyDescent="0.2">
      <c r="F31" s="877"/>
      <c r="G31" s="864"/>
      <c r="H31" s="864"/>
    </row>
    <row r="32" spans="1:8" hidden="1" x14ac:dyDescent="0.2">
      <c r="F32" s="877"/>
      <c r="G32" s="864"/>
      <c r="H32" s="864"/>
    </row>
    <row r="33" spans="2:8" hidden="1" x14ac:dyDescent="0.2">
      <c r="F33" s="877"/>
      <c r="G33" s="864"/>
      <c r="H33" s="864"/>
    </row>
    <row r="34" spans="2:8" hidden="1" x14ac:dyDescent="0.2">
      <c r="F34" s="871"/>
      <c r="G34" s="865"/>
      <c r="H34" s="864"/>
    </row>
    <row r="35" spans="2:8" hidden="1" x14ac:dyDescent="0.2">
      <c r="F35" s="871"/>
      <c r="G35" s="865"/>
      <c r="H35" s="864"/>
    </row>
    <row r="36" spans="2:8" ht="11.25" hidden="1" thickTop="1" x14ac:dyDescent="0.2">
      <c r="B36" s="875">
        <v>2012</v>
      </c>
      <c r="C36" s="874"/>
      <c r="D36" s="874"/>
      <c r="F36" s="871"/>
      <c r="G36" s="865"/>
      <c r="H36" s="864"/>
    </row>
    <row r="37" spans="2:8" hidden="1" x14ac:dyDescent="0.2">
      <c r="B37" s="863" t="s">
        <v>624</v>
      </c>
      <c r="C37" s="863">
        <f>182+10</f>
        <v>192</v>
      </c>
      <c r="D37" s="865">
        <f>42102746*C37</f>
        <v>8083727232</v>
      </c>
      <c r="F37" s="871"/>
      <c r="G37" s="865"/>
      <c r="H37" s="864"/>
    </row>
    <row r="38" spans="2:8" hidden="1" x14ac:dyDescent="0.2">
      <c r="B38" s="863" t="s">
        <v>623</v>
      </c>
      <c r="C38" s="863">
        <v>28</v>
      </c>
      <c r="D38" s="870">
        <f>42133506*C38</f>
        <v>1179738168</v>
      </c>
      <c r="F38" s="866"/>
      <c r="G38" s="865"/>
      <c r="H38" s="864"/>
    </row>
    <row r="39" spans="2:8" hidden="1" x14ac:dyDescent="0.2">
      <c r="B39" s="863" t="s">
        <v>622</v>
      </c>
      <c r="C39" s="863">
        <v>29</v>
      </c>
      <c r="D39" s="870">
        <f>42134356*C39</f>
        <v>1221896324</v>
      </c>
      <c r="F39" s="871"/>
      <c r="G39" s="865"/>
      <c r="H39" s="864"/>
    </row>
    <row r="40" spans="2:8" hidden="1" x14ac:dyDescent="0.2">
      <c r="B40" s="863" t="s">
        <v>621</v>
      </c>
      <c r="C40" s="863">
        <v>28</v>
      </c>
      <c r="D40" s="870">
        <f>42137036*C40</f>
        <v>1179837008</v>
      </c>
      <c r="F40" s="871"/>
      <c r="G40" s="865"/>
      <c r="H40" s="864"/>
    </row>
    <row r="41" spans="2:8" hidden="1" x14ac:dyDescent="0.2">
      <c r="B41" s="863" t="s">
        <v>620</v>
      </c>
      <c r="C41" s="863">
        <v>36</v>
      </c>
      <c r="D41" s="870">
        <f>42137706*C41</f>
        <v>1516957416</v>
      </c>
      <c r="F41" s="871"/>
      <c r="G41" s="865"/>
      <c r="H41" s="864"/>
    </row>
    <row r="42" spans="2:8" hidden="1" x14ac:dyDescent="0.2">
      <c r="B42" s="863" t="s">
        <v>619</v>
      </c>
      <c r="C42" s="863">
        <v>31</v>
      </c>
      <c r="D42" s="870">
        <f>42138876*C42</f>
        <v>1306305156</v>
      </c>
      <c r="F42" s="871"/>
      <c r="G42" s="865"/>
      <c r="H42" s="864"/>
    </row>
    <row r="43" spans="2:8" hidden="1" x14ac:dyDescent="0.2">
      <c r="B43" s="863" t="s">
        <v>618</v>
      </c>
      <c r="C43" s="863">
        <v>22</v>
      </c>
      <c r="D43" s="870">
        <f>42138976*C43</f>
        <v>927057472</v>
      </c>
      <c r="F43" s="871"/>
      <c r="G43" s="865"/>
      <c r="H43" s="864"/>
    </row>
    <row r="44" spans="2:8" hidden="1" x14ac:dyDescent="0.2">
      <c r="D44" s="870"/>
      <c r="F44" s="869"/>
      <c r="G44" s="865"/>
      <c r="H44" s="864"/>
    </row>
    <row r="45" spans="2:8" ht="11.25" hidden="1" thickBot="1" x14ac:dyDescent="0.25">
      <c r="B45" s="868"/>
      <c r="C45" s="868">
        <f>SUM(C37:C44)</f>
        <v>366</v>
      </c>
      <c r="D45" s="876">
        <f>(D37+D38+D39+D40+D42+D43+D41)/C45</f>
        <v>42118903.759562843</v>
      </c>
      <c r="F45" s="866"/>
      <c r="G45" s="865"/>
      <c r="H45" s="864"/>
    </row>
    <row r="46" spans="2:8" hidden="1" x14ac:dyDescent="0.2">
      <c r="F46" s="871"/>
      <c r="G46" s="865"/>
      <c r="H46" s="864"/>
    </row>
    <row r="47" spans="2:8" ht="11.25" hidden="1" thickTop="1" x14ac:dyDescent="0.2">
      <c r="B47" s="875">
        <v>2013</v>
      </c>
      <c r="C47" s="874"/>
      <c r="D47" s="874"/>
      <c r="F47" s="871"/>
      <c r="G47" s="865"/>
      <c r="H47" s="864"/>
    </row>
    <row r="48" spans="2:8" hidden="1" x14ac:dyDescent="0.2">
      <c r="B48" s="863" t="s">
        <v>617</v>
      </c>
      <c r="C48" s="863">
        <v>13</v>
      </c>
      <c r="D48" s="865">
        <f>42138976*C48</f>
        <v>547806688</v>
      </c>
      <c r="F48" s="871"/>
      <c r="G48" s="865"/>
      <c r="H48" s="864"/>
    </row>
    <row r="49" spans="1:8" hidden="1" x14ac:dyDescent="0.2">
      <c r="B49" s="863" t="s">
        <v>616</v>
      </c>
      <c r="C49" s="863">
        <v>51</v>
      </c>
      <c r="D49" s="865">
        <f>42141246*C49</f>
        <v>2149203546</v>
      </c>
      <c r="E49" s="865">
        <v>2270</v>
      </c>
      <c r="F49" s="871"/>
      <c r="G49" s="865"/>
      <c r="H49" s="864"/>
    </row>
    <row r="50" spans="1:8" hidden="1" x14ac:dyDescent="0.2">
      <c r="B50" s="863" t="s">
        <v>615</v>
      </c>
      <c r="C50" s="863">
        <v>29</v>
      </c>
      <c r="D50" s="865">
        <f>42141346*C50</f>
        <v>1222099034</v>
      </c>
      <c r="E50" s="865">
        <v>100</v>
      </c>
      <c r="F50" s="866"/>
      <c r="G50" s="865"/>
      <c r="H50" s="864"/>
    </row>
    <row r="51" spans="1:8" hidden="1" x14ac:dyDescent="0.2">
      <c r="B51" s="863" t="s">
        <v>614</v>
      </c>
      <c r="C51" s="863">
        <f>88+16</f>
        <v>104</v>
      </c>
      <c r="D51" s="865">
        <f>42141986*C51</f>
        <v>4382766544</v>
      </c>
      <c r="E51" s="865">
        <v>640</v>
      </c>
      <c r="F51" s="871"/>
      <c r="G51" s="865"/>
      <c r="H51" s="864"/>
    </row>
    <row r="52" spans="1:8" hidden="1" x14ac:dyDescent="0.2">
      <c r="B52" s="863" t="s">
        <v>613</v>
      </c>
      <c r="C52" s="863">
        <v>85</v>
      </c>
      <c r="D52" s="865">
        <f>42170252*C52</f>
        <v>3584471420</v>
      </c>
      <c r="E52" s="865">
        <v>28266</v>
      </c>
      <c r="F52" s="871"/>
      <c r="G52" s="865"/>
      <c r="H52" s="864"/>
    </row>
    <row r="53" spans="1:8" ht="21" hidden="1" x14ac:dyDescent="0.2">
      <c r="B53" s="872" t="s">
        <v>612</v>
      </c>
      <c r="C53" s="863">
        <v>48</v>
      </c>
      <c r="D53" s="865">
        <f>42172997*C53</f>
        <v>2024303856</v>
      </c>
      <c r="E53" s="865">
        <v>2745</v>
      </c>
      <c r="F53" s="871"/>
      <c r="G53" s="865"/>
      <c r="H53" s="864"/>
    </row>
    <row r="54" spans="1:8" ht="21" hidden="1" x14ac:dyDescent="0.2">
      <c r="B54" s="872" t="s">
        <v>611</v>
      </c>
      <c r="C54" s="863">
        <v>35</v>
      </c>
      <c r="D54" s="865">
        <f>42174013*C54</f>
        <v>1476090455</v>
      </c>
      <c r="E54" s="865">
        <v>1016</v>
      </c>
      <c r="F54" s="873">
        <f>(E53+E54)*4</f>
        <v>15044</v>
      </c>
      <c r="G54" s="865"/>
      <c r="H54" s="864"/>
    </row>
    <row r="55" spans="1:8" hidden="1" x14ac:dyDescent="0.2">
      <c r="B55" s="872"/>
      <c r="D55" s="870"/>
      <c r="E55" s="865"/>
      <c r="F55" s="871"/>
      <c r="G55" s="865"/>
      <c r="H55" s="864"/>
    </row>
    <row r="56" spans="1:8" hidden="1" x14ac:dyDescent="0.2">
      <c r="D56" s="870"/>
      <c r="F56" s="869"/>
      <c r="G56" s="865"/>
      <c r="H56" s="864"/>
    </row>
    <row r="57" spans="1:8" ht="11.25" hidden="1" thickBot="1" x14ac:dyDescent="0.25">
      <c r="B57" s="868"/>
      <c r="C57" s="868">
        <f>SUM(C48:C56)</f>
        <v>365</v>
      </c>
      <c r="D57" s="867">
        <f>(D48+D50+D51+D49+D52+D54+D53)/C57</f>
        <v>42155456.282191783</v>
      </c>
      <c r="F57" s="866"/>
      <c r="G57" s="865"/>
      <c r="H57" s="864"/>
    </row>
    <row r="58" spans="1:8" hidden="1" x14ac:dyDescent="0.2">
      <c r="F58" s="864"/>
      <c r="G58" s="864"/>
      <c r="H58" s="864"/>
    </row>
    <row r="59" spans="1:8" ht="11.25" hidden="1" thickTop="1" x14ac:dyDescent="0.2">
      <c r="B59" s="875">
        <v>2014</v>
      </c>
      <c r="C59" s="874"/>
      <c r="D59" s="874"/>
      <c r="F59" s="871"/>
      <c r="G59" s="865"/>
      <c r="H59" s="864"/>
    </row>
    <row r="60" spans="1:8" hidden="1" x14ac:dyDescent="0.2">
      <c r="B60" s="863" t="s">
        <v>610</v>
      </c>
      <c r="C60" s="863">
        <v>9</v>
      </c>
      <c r="D60" s="865">
        <f>42174013*C60</f>
        <v>379566117</v>
      </c>
      <c r="F60" s="871"/>
      <c r="G60" s="865"/>
      <c r="H60" s="864"/>
    </row>
    <row r="61" spans="1:8" hidden="1" x14ac:dyDescent="0.2">
      <c r="B61" s="863" t="s">
        <v>609</v>
      </c>
      <c r="C61" s="863">
        <f>81+91+28</f>
        <v>200</v>
      </c>
      <c r="D61" s="865">
        <f>42175558*C61</f>
        <v>8435111600</v>
      </c>
      <c r="E61" s="865">
        <v>1545</v>
      </c>
      <c r="F61" s="871"/>
      <c r="G61" s="865"/>
      <c r="H61" s="864"/>
    </row>
    <row r="62" spans="1:8" hidden="1" x14ac:dyDescent="0.2">
      <c r="A62" s="863"/>
      <c r="B62" s="863" t="s">
        <v>608</v>
      </c>
      <c r="C62" s="863">
        <f>3+31+30+13</f>
        <v>77</v>
      </c>
      <c r="D62" s="865">
        <f>42207402*C62</f>
        <v>3249969954</v>
      </c>
      <c r="E62" s="865">
        <v>31844</v>
      </c>
      <c r="F62" s="866"/>
      <c r="G62" s="865"/>
      <c r="H62" s="864"/>
    </row>
    <row r="63" spans="1:8" hidden="1" x14ac:dyDescent="0.2">
      <c r="B63" s="863" t="s">
        <v>607</v>
      </c>
      <c r="C63" s="863">
        <v>79</v>
      </c>
      <c r="D63" s="865">
        <f>42210057*C63</f>
        <v>3334594503</v>
      </c>
      <c r="E63" s="865">
        <v>2655</v>
      </c>
      <c r="F63" s="871"/>
      <c r="G63" s="865"/>
      <c r="H63" s="864"/>
    </row>
    <row r="64" spans="1:8" hidden="1" x14ac:dyDescent="0.2">
      <c r="D64" s="865"/>
      <c r="E64" s="865"/>
      <c r="F64" s="871"/>
      <c r="G64" s="865"/>
      <c r="H64" s="864"/>
    </row>
    <row r="65" spans="2:8" hidden="1" x14ac:dyDescent="0.2">
      <c r="B65" s="872"/>
      <c r="D65" s="865"/>
      <c r="E65" s="865"/>
      <c r="F65" s="871"/>
      <c r="G65" s="865"/>
      <c r="H65" s="864"/>
    </row>
    <row r="66" spans="2:8" hidden="1" x14ac:dyDescent="0.2">
      <c r="B66" s="872"/>
      <c r="D66" s="865"/>
      <c r="E66" s="865"/>
      <c r="F66" s="873"/>
      <c r="G66" s="865"/>
      <c r="H66" s="864"/>
    </row>
    <row r="67" spans="2:8" hidden="1" x14ac:dyDescent="0.2">
      <c r="B67" s="872"/>
      <c r="D67" s="870"/>
      <c r="E67" s="865"/>
      <c r="F67" s="871"/>
      <c r="G67" s="865"/>
      <c r="H67" s="864"/>
    </row>
    <row r="68" spans="2:8" hidden="1" x14ac:dyDescent="0.2">
      <c r="D68" s="870"/>
      <c r="F68" s="869"/>
      <c r="G68" s="865"/>
      <c r="H68" s="864"/>
    </row>
    <row r="69" spans="2:8" ht="11.25" hidden="1" thickBot="1" x14ac:dyDescent="0.25">
      <c r="B69" s="868"/>
      <c r="C69" s="868">
        <f>SUM(C60:C68)</f>
        <v>365</v>
      </c>
      <c r="D69" s="867">
        <f>(D60+D62+D63+D61)/C69</f>
        <v>42189704.586301371</v>
      </c>
      <c r="F69" s="866"/>
      <c r="G69" s="865"/>
      <c r="H69" s="864"/>
    </row>
  </sheetData>
  <pageMargins left="0.75" right="0.75" top="1" bottom="1" header="0.5" footer="0.5"/>
  <pageSetup paperSize="9" scale="3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D11"/>
  <sheetViews>
    <sheetView topLeftCell="B1" workbookViewId="0">
      <selection activeCell="D18" sqref="D18"/>
    </sheetView>
  </sheetViews>
  <sheetFormatPr defaultRowHeight="13.5" x14ac:dyDescent="0.2"/>
  <cols>
    <col min="1" max="1" width="2.28515625" style="915" customWidth="1"/>
    <col min="2" max="2" width="59.7109375" style="914" customWidth="1"/>
    <col min="3" max="4" width="15.7109375" style="914" customWidth="1"/>
    <col min="5" max="16384" width="9.140625" style="913"/>
  </cols>
  <sheetData>
    <row r="2" spans="2:4" ht="17.100000000000001" customHeight="1" x14ac:dyDescent="0.2">
      <c r="B2" s="522"/>
      <c r="C2" s="521" t="s">
        <v>5</v>
      </c>
      <c r="D2" s="520" t="s">
        <v>4</v>
      </c>
    </row>
    <row r="3" spans="2:4" ht="17.100000000000001" customHeight="1" x14ac:dyDescent="0.2">
      <c r="B3" s="519" t="s">
        <v>664</v>
      </c>
      <c r="C3" s="503">
        <v>4944689</v>
      </c>
      <c r="D3" s="502">
        <v>4883602</v>
      </c>
    </row>
    <row r="4" spans="2:4" ht="17.100000000000001" customHeight="1" x14ac:dyDescent="0.2">
      <c r="B4" s="514" t="s">
        <v>663</v>
      </c>
      <c r="C4" s="501">
        <v>97887</v>
      </c>
      <c r="D4" s="500">
        <v>103972</v>
      </c>
    </row>
    <row r="5" spans="2:4" ht="17.100000000000001" customHeight="1" x14ac:dyDescent="0.2">
      <c r="B5" s="514" t="s">
        <v>662</v>
      </c>
      <c r="C5" s="501">
        <v>1131453</v>
      </c>
      <c r="D5" s="500">
        <v>1095453</v>
      </c>
    </row>
    <row r="6" spans="2:4" ht="17.100000000000001" customHeight="1" x14ac:dyDescent="0.2">
      <c r="B6" s="514" t="s">
        <v>661</v>
      </c>
      <c r="C6" s="501">
        <v>2093668</v>
      </c>
      <c r="D6" s="500">
        <v>889509</v>
      </c>
    </row>
    <row r="7" spans="2:4" ht="17.100000000000001" customHeight="1" thickBot="1" x14ac:dyDescent="0.25">
      <c r="B7" s="511" t="s">
        <v>660</v>
      </c>
      <c r="C7" s="495">
        <v>1219282</v>
      </c>
      <c r="D7" s="494">
        <v>1301246</v>
      </c>
    </row>
    <row r="8" spans="2:4" ht="17.100000000000001" customHeight="1" thickBot="1" x14ac:dyDescent="0.25">
      <c r="B8" s="455" t="s">
        <v>659</v>
      </c>
      <c r="C8" s="508">
        <f>SUM(C3:C7)</f>
        <v>9486979</v>
      </c>
      <c r="D8" s="507">
        <f>SUM(D3:D7)</f>
        <v>8273782</v>
      </c>
    </row>
    <row r="9" spans="2:4" x14ac:dyDescent="0.2">
      <c r="B9" s="919"/>
      <c r="C9" s="919"/>
      <c r="D9" s="919"/>
    </row>
    <row r="10" spans="2:4" x14ac:dyDescent="0.2">
      <c r="B10" s="918"/>
      <c r="C10" s="918"/>
      <c r="D10" s="918"/>
    </row>
    <row r="11" spans="2:4" x14ac:dyDescent="0.2">
      <c r="B11" s="917"/>
      <c r="C11" s="916"/>
      <c r="D11" s="916"/>
    </row>
  </sheetData>
  <pageMargins left="0.36" right="0.37" top="1" bottom="1" header="0.5" footer="0.5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2:G30"/>
  <sheetViews>
    <sheetView tabSelected="1" workbookViewId="0">
      <selection activeCell="D48" sqref="D48"/>
    </sheetView>
  </sheetViews>
  <sheetFormatPr defaultRowHeight="13.5" x14ac:dyDescent="0.3"/>
  <cols>
    <col min="1" max="1" width="2.28515625" style="915" customWidth="1"/>
    <col min="2" max="2" width="59.7109375" style="921" customWidth="1"/>
    <col min="3" max="4" width="15.7109375" style="921" customWidth="1"/>
    <col min="5" max="16384" width="9.140625" style="920"/>
  </cols>
  <sheetData>
    <row r="2" spans="2:4" ht="17.100000000000001" customHeight="1" x14ac:dyDescent="0.3">
      <c r="B2" s="522"/>
      <c r="C2" s="521" t="s">
        <v>5</v>
      </c>
      <c r="D2" s="520" t="s">
        <v>4</v>
      </c>
    </row>
    <row r="3" spans="2:4" ht="17.100000000000001" customHeight="1" thickBot="1" x14ac:dyDescent="0.35">
      <c r="B3" s="545" t="s">
        <v>687</v>
      </c>
      <c r="C3" s="564">
        <f>SUM(C4:C5)</f>
        <v>-6004</v>
      </c>
      <c r="D3" s="559">
        <f>SUM(D4:D6)</f>
        <v>-6426</v>
      </c>
    </row>
    <row r="4" spans="2:4" ht="17.100000000000001" customHeight="1" thickBot="1" x14ac:dyDescent="0.35">
      <c r="B4" s="567" t="s">
        <v>686</v>
      </c>
      <c r="C4" s="566">
        <v>3706</v>
      </c>
      <c r="D4" s="565">
        <v>6324</v>
      </c>
    </row>
    <row r="5" spans="2:4" ht="17.100000000000001" customHeight="1" thickBot="1" x14ac:dyDescent="0.35">
      <c r="B5" s="567" t="s">
        <v>685</v>
      </c>
      <c r="C5" s="566">
        <v>-9710</v>
      </c>
      <c r="D5" s="565">
        <v>-12750</v>
      </c>
    </row>
    <row r="6" spans="2:4" ht="17.100000000000001" hidden="1" customHeight="1" thickBot="1" x14ac:dyDescent="0.35">
      <c r="B6" s="567" t="s">
        <v>671</v>
      </c>
      <c r="C6" s="566">
        <v>0</v>
      </c>
      <c r="D6" s="565">
        <v>0</v>
      </c>
    </row>
    <row r="7" spans="2:4" ht="17.100000000000001" customHeight="1" thickBot="1" x14ac:dyDescent="0.35">
      <c r="B7" s="455" t="s">
        <v>684</v>
      </c>
      <c r="C7" s="454">
        <f>SUM(C8:C12)</f>
        <v>-3068</v>
      </c>
      <c r="D7" s="453">
        <f>SUM(D8:D12)</f>
        <v>442354</v>
      </c>
    </row>
    <row r="8" spans="2:4" ht="17.100000000000001" customHeight="1" thickBot="1" x14ac:dyDescent="0.35">
      <c r="B8" s="567" t="s">
        <v>683</v>
      </c>
      <c r="C8" s="566">
        <v>70216</v>
      </c>
      <c r="D8" s="565">
        <v>361479</v>
      </c>
    </row>
    <row r="9" spans="2:4" ht="17.100000000000001" customHeight="1" thickBot="1" x14ac:dyDescent="0.35">
      <c r="B9" s="567" t="s">
        <v>682</v>
      </c>
      <c r="C9" s="566">
        <v>-91302</v>
      </c>
      <c r="D9" s="565">
        <v>-1881</v>
      </c>
    </row>
    <row r="10" spans="2:4" ht="17.100000000000001" customHeight="1" thickBot="1" x14ac:dyDescent="0.35">
      <c r="B10" s="567" t="s">
        <v>681</v>
      </c>
      <c r="C10" s="566">
        <v>1307</v>
      </c>
      <c r="D10" s="565">
        <v>168075</v>
      </c>
    </row>
    <row r="11" spans="2:4" ht="17.100000000000001" hidden="1" customHeight="1" thickBot="1" x14ac:dyDescent="0.35">
      <c r="B11" s="567" t="s">
        <v>680</v>
      </c>
      <c r="C11" s="566">
        <v>0</v>
      </c>
      <c r="D11" s="565">
        <v>0</v>
      </c>
    </row>
    <row r="12" spans="2:4" ht="17.100000000000001" customHeight="1" thickBot="1" x14ac:dyDescent="0.35">
      <c r="B12" s="567" t="s">
        <v>671</v>
      </c>
      <c r="C12" s="566">
        <v>16711</v>
      </c>
      <c r="D12" s="565">
        <v>-85319</v>
      </c>
    </row>
    <row r="13" spans="2:4" ht="17.100000000000001" customHeight="1" thickBot="1" x14ac:dyDescent="0.35">
      <c r="B13" s="455" t="s">
        <v>679</v>
      </c>
      <c r="C13" s="454">
        <f>SUM(C14:C16)</f>
        <v>-1545</v>
      </c>
      <c r="D13" s="453">
        <f>SUM(D14:D16)</f>
        <v>859</v>
      </c>
    </row>
    <row r="14" spans="2:4" ht="17.100000000000001" customHeight="1" thickBot="1" x14ac:dyDescent="0.35">
      <c r="B14" s="567" t="s">
        <v>678</v>
      </c>
      <c r="C14" s="566">
        <v>1065</v>
      </c>
      <c r="D14" s="565">
        <v>1061</v>
      </c>
    </row>
    <row r="15" spans="2:4" ht="17.100000000000001" customHeight="1" thickBot="1" x14ac:dyDescent="0.35">
      <c r="B15" s="567" t="s">
        <v>677</v>
      </c>
      <c r="C15" s="566">
        <v>-2972</v>
      </c>
      <c r="D15" s="565">
        <v>0</v>
      </c>
    </row>
    <row r="16" spans="2:4" ht="17.100000000000001" customHeight="1" thickBot="1" x14ac:dyDescent="0.35">
      <c r="B16" s="567" t="s">
        <v>671</v>
      </c>
      <c r="C16" s="566">
        <v>362</v>
      </c>
      <c r="D16" s="565">
        <v>-202</v>
      </c>
    </row>
    <row r="17" spans="2:7" ht="17.100000000000001" hidden="1" customHeight="1" thickBot="1" x14ac:dyDescent="0.35">
      <c r="B17" s="455" t="s">
        <v>676</v>
      </c>
      <c r="C17" s="454">
        <f>SUM(C18:C19)</f>
        <v>0</v>
      </c>
      <c r="D17" s="453">
        <f>SUM(D18:D19)</f>
        <v>0</v>
      </c>
    </row>
    <row r="18" spans="2:7" ht="17.100000000000001" hidden="1" customHeight="1" thickBot="1" x14ac:dyDescent="0.35">
      <c r="B18" s="567" t="s">
        <v>675</v>
      </c>
      <c r="C18" s="566">
        <v>0</v>
      </c>
      <c r="D18" s="565">
        <v>0</v>
      </c>
    </row>
    <row r="19" spans="2:7" ht="17.100000000000001" hidden="1" customHeight="1" thickBot="1" x14ac:dyDescent="0.35">
      <c r="B19" s="567" t="s">
        <v>671</v>
      </c>
      <c r="C19" s="566">
        <v>0</v>
      </c>
      <c r="D19" s="565">
        <v>0</v>
      </c>
    </row>
    <row r="20" spans="2:7" ht="24.95" customHeight="1" thickBot="1" x14ac:dyDescent="0.35">
      <c r="B20" s="455" t="s">
        <v>674</v>
      </c>
      <c r="C20" s="454">
        <f>SUM(C21:C23)</f>
        <v>-3702</v>
      </c>
      <c r="D20" s="453">
        <f>SUM(D21:D23)</f>
        <v>-3981</v>
      </c>
    </row>
    <row r="21" spans="2:7" ht="17.100000000000001" customHeight="1" thickBot="1" x14ac:dyDescent="0.35">
      <c r="B21" s="567" t="s">
        <v>673</v>
      </c>
      <c r="C21" s="566">
        <v>27</v>
      </c>
      <c r="D21" s="565">
        <v>30</v>
      </c>
    </row>
    <row r="22" spans="2:7" ht="17.100000000000001" customHeight="1" thickBot="1" x14ac:dyDescent="0.35">
      <c r="B22" s="567" t="s">
        <v>672</v>
      </c>
      <c r="C22" s="566">
        <v>-4597</v>
      </c>
      <c r="D22" s="565">
        <v>-4944</v>
      </c>
    </row>
    <row r="23" spans="2:7" ht="17.100000000000001" customHeight="1" thickBot="1" x14ac:dyDescent="0.35">
      <c r="B23" s="567" t="s">
        <v>671</v>
      </c>
      <c r="C23" s="566">
        <v>868</v>
      </c>
      <c r="D23" s="565">
        <v>933</v>
      </c>
      <c r="G23" s="922"/>
    </row>
    <row r="24" spans="2:7" ht="24.95" hidden="1" customHeight="1" thickBot="1" x14ac:dyDescent="0.35">
      <c r="B24" s="455" t="s">
        <v>670</v>
      </c>
      <c r="C24" s="454">
        <f>SUM(C25:C26)</f>
        <v>0</v>
      </c>
      <c r="D24" s="453">
        <f>SUM(D25:D26)</f>
        <v>0</v>
      </c>
    </row>
    <row r="25" spans="2:7" ht="17.100000000000001" hidden="1" customHeight="1" thickBot="1" x14ac:dyDescent="0.35">
      <c r="B25" s="567" t="s">
        <v>669</v>
      </c>
      <c r="C25" s="566">
        <v>0</v>
      </c>
      <c r="D25" s="565">
        <v>0</v>
      </c>
    </row>
    <row r="26" spans="2:7" ht="17.100000000000001" hidden="1" customHeight="1" thickBot="1" x14ac:dyDescent="0.35">
      <c r="B26" s="567" t="s">
        <v>666</v>
      </c>
      <c r="C26" s="566">
        <v>0</v>
      </c>
      <c r="D26" s="565">
        <v>0</v>
      </c>
    </row>
    <row r="27" spans="2:7" ht="17.100000000000001" hidden="1" customHeight="1" thickBot="1" x14ac:dyDescent="0.35">
      <c r="B27" s="455" t="s">
        <v>668</v>
      </c>
      <c r="C27" s="454">
        <f>SUM(C28:C29)</f>
        <v>0</v>
      </c>
      <c r="D27" s="453">
        <f>SUM(D28:D29)</f>
        <v>0</v>
      </c>
    </row>
    <row r="28" spans="2:7" ht="17.100000000000001" hidden="1" customHeight="1" thickBot="1" x14ac:dyDescent="0.35">
      <c r="B28" s="567" t="s">
        <v>667</v>
      </c>
      <c r="C28" s="566">
        <v>0</v>
      </c>
      <c r="D28" s="565">
        <v>0</v>
      </c>
    </row>
    <row r="29" spans="2:7" ht="17.100000000000001" hidden="1" customHeight="1" thickBot="1" x14ac:dyDescent="0.35">
      <c r="B29" s="567" t="s">
        <v>666</v>
      </c>
      <c r="C29" s="566">
        <v>0</v>
      </c>
      <c r="D29" s="565">
        <v>0</v>
      </c>
    </row>
    <row r="30" spans="2:7" ht="17.100000000000001" customHeight="1" thickBot="1" x14ac:dyDescent="0.35">
      <c r="B30" s="455" t="s">
        <v>665</v>
      </c>
      <c r="C30" s="508">
        <f>SUM(C3,C7,C20,C13)</f>
        <v>-14319</v>
      </c>
      <c r="D30" s="507">
        <f>D3+D7+D13+D17+D20+D24+D27</f>
        <v>432806</v>
      </c>
    </row>
  </sheetData>
  <pageMargins left="0.75" right="0.75" top="1" bottom="1" header="0.5" footer="0.5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C18"/>
  <sheetViews>
    <sheetView workbookViewId="0">
      <selection activeCell="A2" sqref="A2"/>
    </sheetView>
  </sheetViews>
  <sheetFormatPr defaultRowHeight="12.75" x14ac:dyDescent="0.2"/>
  <cols>
    <col min="1" max="1" width="40.7109375" style="72" customWidth="1"/>
    <col min="2" max="3" width="29.5703125" style="72" customWidth="1"/>
    <col min="4" max="16384" width="9.140625" style="71"/>
  </cols>
  <sheetData>
    <row r="2" spans="1:3" x14ac:dyDescent="0.2">
      <c r="A2" s="923" t="s">
        <v>43</v>
      </c>
    </row>
    <row r="3" spans="1:3" x14ac:dyDescent="0.2">
      <c r="A3" s="74"/>
    </row>
    <row r="4" spans="1:3" ht="17.100000000000001" customHeight="1" x14ac:dyDescent="0.2">
      <c r="A4" s="931" t="s">
        <v>38</v>
      </c>
      <c r="B4" s="931"/>
      <c r="C4" s="931"/>
    </row>
    <row r="5" spans="1:3" ht="17.100000000000001" customHeight="1" x14ac:dyDescent="0.2">
      <c r="A5" s="89" t="s">
        <v>42</v>
      </c>
      <c r="B5" s="88" t="s">
        <v>5</v>
      </c>
      <c r="C5" s="87" t="s">
        <v>4</v>
      </c>
    </row>
    <row r="6" spans="1:3" ht="17.100000000000001" customHeight="1" x14ac:dyDescent="0.2">
      <c r="A6" s="86">
        <v>1</v>
      </c>
      <c r="B6" s="85">
        <v>1230145</v>
      </c>
      <c r="C6" s="84">
        <v>423980</v>
      </c>
    </row>
    <row r="7" spans="1:3" ht="17.100000000000001" customHeight="1" x14ac:dyDescent="0.2">
      <c r="A7" s="83">
        <v>2</v>
      </c>
      <c r="B7" s="82">
        <v>1391810</v>
      </c>
      <c r="C7" s="81">
        <v>1096822</v>
      </c>
    </row>
    <row r="8" spans="1:3" ht="17.100000000000001" customHeight="1" x14ac:dyDescent="0.2">
      <c r="A8" s="83">
        <v>3</v>
      </c>
      <c r="B8" s="82">
        <v>246902</v>
      </c>
      <c r="C8" s="81">
        <v>173829</v>
      </c>
    </row>
    <row r="9" spans="1:3" ht="17.100000000000001" customHeight="1" x14ac:dyDescent="0.2">
      <c r="A9" s="83">
        <v>4</v>
      </c>
      <c r="B9" s="82">
        <v>64314</v>
      </c>
      <c r="C9" s="81">
        <v>29263</v>
      </c>
    </row>
    <row r="10" spans="1:3" ht="17.100000000000001" customHeight="1" x14ac:dyDescent="0.2">
      <c r="A10" s="83">
        <v>5</v>
      </c>
      <c r="B10" s="82">
        <v>0</v>
      </c>
      <c r="C10" s="81">
        <v>45451</v>
      </c>
    </row>
    <row r="11" spans="1:3" ht="17.100000000000001" customHeight="1" x14ac:dyDescent="0.2">
      <c r="A11" s="83">
        <v>6</v>
      </c>
      <c r="B11" s="82">
        <v>0</v>
      </c>
      <c r="C11" s="81">
        <v>0</v>
      </c>
    </row>
    <row r="12" spans="1:3" ht="17.100000000000001" customHeight="1" x14ac:dyDescent="0.2">
      <c r="A12" s="83">
        <v>7</v>
      </c>
      <c r="B12" s="82">
        <v>1945</v>
      </c>
      <c r="C12" s="81">
        <v>14336</v>
      </c>
    </row>
    <row r="13" spans="1:3" ht="17.100000000000001" customHeight="1" x14ac:dyDescent="0.2">
      <c r="A13" s="83">
        <v>8</v>
      </c>
      <c r="B13" s="82">
        <v>119112</v>
      </c>
      <c r="C13" s="81">
        <v>64375</v>
      </c>
    </row>
    <row r="14" spans="1:3" ht="17.100000000000001" customHeight="1" thickBot="1" x14ac:dyDescent="0.25">
      <c r="A14" s="83" t="s">
        <v>41</v>
      </c>
      <c r="B14" s="82">
        <v>400</v>
      </c>
      <c r="C14" s="81">
        <v>50977</v>
      </c>
    </row>
    <row r="15" spans="1:3" ht="17.100000000000001" hidden="1" customHeight="1" thickBot="1" x14ac:dyDescent="0.25">
      <c r="A15" s="80" t="s">
        <v>40</v>
      </c>
      <c r="B15" s="79">
        <v>0</v>
      </c>
      <c r="C15" s="78">
        <v>0</v>
      </c>
    </row>
    <row r="16" spans="1:3" ht="17.100000000000001" customHeight="1" thickBot="1" x14ac:dyDescent="0.25">
      <c r="A16" s="44" t="s">
        <v>39</v>
      </c>
      <c r="B16" s="77">
        <f>SUM(B6:B15)</f>
        <v>3054628</v>
      </c>
      <c r="C16" s="76">
        <f>SUM(C6:C15)</f>
        <v>1899033</v>
      </c>
    </row>
    <row r="17" spans="1:3" x14ac:dyDescent="0.2">
      <c r="A17" s="74"/>
      <c r="B17" s="75"/>
      <c r="C17" s="75"/>
    </row>
    <row r="18" spans="1:3" x14ac:dyDescent="0.2">
      <c r="A18" s="74"/>
      <c r="B18" s="73"/>
      <c r="C18" s="73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148"/>
  <sheetViews>
    <sheetView workbookViewId="0">
      <selection activeCell="D40" sqref="D40"/>
    </sheetView>
  </sheetViews>
  <sheetFormatPr defaultRowHeight="10.5" x14ac:dyDescent="0.2"/>
  <cols>
    <col min="1" max="1" width="2.28515625" style="3" customWidth="1"/>
    <col min="2" max="2" width="39.28515625" style="23" customWidth="1"/>
    <col min="3" max="4" width="15.140625" style="32" customWidth="1"/>
    <col min="5" max="8" width="15.140625" style="22" customWidth="1"/>
    <col min="9" max="16384" width="9.140625" style="22"/>
  </cols>
  <sheetData>
    <row r="1" spans="2:13" x14ac:dyDescent="0.2">
      <c r="C1" s="23"/>
      <c r="D1" s="23"/>
      <c r="E1" s="23"/>
    </row>
    <row r="2" spans="2:13" ht="17.100000000000001" customHeight="1" thickBot="1" x14ac:dyDescent="0.25">
      <c r="B2" s="134"/>
      <c r="C2" s="932" t="s">
        <v>5</v>
      </c>
      <c r="D2" s="932"/>
      <c r="E2" s="932"/>
      <c r="F2" s="932" t="s">
        <v>4</v>
      </c>
      <c r="G2" s="932"/>
      <c r="H2" s="933"/>
    </row>
    <row r="3" spans="2:13" ht="60" customHeight="1" x14ac:dyDescent="0.2">
      <c r="B3" s="134"/>
      <c r="C3" s="133" t="s">
        <v>61</v>
      </c>
      <c r="D3" s="133" t="s">
        <v>60</v>
      </c>
      <c r="E3" s="133" t="s">
        <v>59</v>
      </c>
      <c r="F3" s="133" t="s">
        <v>61</v>
      </c>
      <c r="G3" s="133" t="s">
        <v>60</v>
      </c>
      <c r="H3" s="132" t="s">
        <v>59</v>
      </c>
    </row>
    <row r="4" spans="2:13" ht="17.100000000000001" customHeight="1" thickBot="1" x14ac:dyDescent="0.25">
      <c r="B4" s="131" t="s">
        <v>58</v>
      </c>
      <c r="C4" s="130">
        <f t="shared" ref="C4:H4" si="0">C5+C8+C9</f>
        <v>3042194</v>
      </c>
      <c r="D4" s="130">
        <f t="shared" si="0"/>
        <v>754263</v>
      </c>
      <c r="E4" s="130">
        <f t="shared" si="0"/>
        <v>3796457</v>
      </c>
      <c r="F4" s="130">
        <f t="shared" si="0"/>
        <v>533998</v>
      </c>
      <c r="G4" s="130">
        <f t="shared" si="0"/>
        <v>16697</v>
      </c>
      <c r="H4" s="129">
        <f t="shared" si="0"/>
        <v>550695</v>
      </c>
    </row>
    <row r="5" spans="2:13" ht="17.100000000000001" customHeight="1" x14ac:dyDescent="0.2">
      <c r="B5" s="128" t="s">
        <v>57</v>
      </c>
      <c r="C5" s="127">
        <f t="shared" ref="C5:H5" si="1">SUM(C6:C7)</f>
        <v>2748766</v>
      </c>
      <c r="D5" s="127">
        <f t="shared" si="1"/>
        <v>754263</v>
      </c>
      <c r="E5" s="127">
        <f t="shared" si="1"/>
        <v>3503029</v>
      </c>
      <c r="F5" s="127">
        <f t="shared" si="1"/>
        <v>161795</v>
      </c>
      <c r="G5" s="127">
        <f t="shared" si="1"/>
        <v>16697</v>
      </c>
      <c r="H5" s="126">
        <f t="shared" si="1"/>
        <v>178492</v>
      </c>
    </row>
    <row r="6" spans="2:13" ht="17.100000000000001" customHeight="1" x14ac:dyDescent="0.2">
      <c r="B6" s="125" t="s">
        <v>56</v>
      </c>
      <c r="C6" s="124">
        <v>2748766</v>
      </c>
      <c r="D6" s="124">
        <v>754263</v>
      </c>
      <c r="E6" s="124">
        <f>SUM(C6:D6)</f>
        <v>3503029</v>
      </c>
      <c r="F6" s="124">
        <v>161795</v>
      </c>
      <c r="G6" s="124">
        <v>16697</v>
      </c>
      <c r="H6" s="123">
        <f>SUM(F6:G6)</f>
        <v>178492</v>
      </c>
    </row>
    <row r="7" spans="2:13" ht="17.100000000000001" hidden="1" customHeight="1" x14ac:dyDescent="0.2">
      <c r="B7" s="125" t="s">
        <v>55</v>
      </c>
      <c r="C7" s="124">
        <v>0</v>
      </c>
      <c r="D7" s="124">
        <v>0</v>
      </c>
      <c r="E7" s="124">
        <f>SUM(C7:D7)</f>
        <v>0</v>
      </c>
      <c r="F7" s="124">
        <v>0</v>
      </c>
      <c r="G7" s="124">
        <v>0</v>
      </c>
      <c r="H7" s="123">
        <f>SUM(F7:G7)</f>
        <v>0</v>
      </c>
    </row>
    <row r="8" spans="2:13" ht="17.100000000000001" hidden="1" customHeight="1" x14ac:dyDescent="0.2">
      <c r="B8" s="122" t="s">
        <v>54</v>
      </c>
      <c r="C8" s="121">
        <v>0</v>
      </c>
      <c r="D8" s="121">
        <v>0</v>
      </c>
      <c r="E8" s="121">
        <f>SUM(C8:D8)</f>
        <v>0</v>
      </c>
      <c r="F8" s="121">
        <v>0</v>
      </c>
      <c r="G8" s="121">
        <v>0</v>
      </c>
      <c r="H8" s="120">
        <f>SUM(F8:G8)</f>
        <v>0</v>
      </c>
    </row>
    <row r="9" spans="2:13" ht="17.100000000000001" customHeight="1" x14ac:dyDescent="0.2">
      <c r="B9" s="119" t="s">
        <v>53</v>
      </c>
      <c r="C9" s="58">
        <f t="shared" ref="C9:H9" si="2">SUM(C10:C13)</f>
        <v>293428</v>
      </c>
      <c r="D9" s="58">
        <f t="shared" si="2"/>
        <v>0</v>
      </c>
      <c r="E9" s="58">
        <f t="shared" si="2"/>
        <v>293428</v>
      </c>
      <c r="F9" s="58">
        <f t="shared" si="2"/>
        <v>372203</v>
      </c>
      <c r="G9" s="58">
        <f t="shared" si="2"/>
        <v>0</v>
      </c>
      <c r="H9" s="81">
        <f t="shared" si="2"/>
        <v>372203</v>
      </c>
    </row>
    <row r="10" spans="2:13" ht="17.100000000000001" customHeight="1" x14ac:dyDescent="0.2">
      <c r="B10" s="118" t="s">
        <v>52</v>
      </c>
      <c r="C10" s="116">
        <v>109904</v>
      </c>
      <c r="D10" s="116">
        <v>0</v>
      </c>
      <c r="E10" s="116">
        <f>SUM(C10:D10)</f>
        <v>109904</v>
      </c>
      <c r="F10" s="116">
        <v>248156</v>
      </c>
      <c r="G10" s="116">
        <v>0</v>
      </c>
      <c r="H10" s="115">
        <f>SUM(F10:G10)</f>
        <v>248156</v>
      </c>
    </row>
    <row r="11" spans="2:13" ht="17.100000000000001" customHeight="1" x14ac:dyDescent="0.2">
      <c r="B11" s="117" t="s">
        <v>51</v>
      </c>
      <c r="C11" s="116">
        <v>16146</v>
      </c>
      <c r="D11" s="116">
        <v>0</v>
      </c>
      <c r="E11" s="116">
        <f>SUM(C11:D11)</f>
        <v>16146</v>
      </c>
      <c r="F11" s="116">
        <v>73124</v>
      </c>
      <c r="G11" s="116">
        <v>0</v>
      </c>
      <c r="H11" s="115">
        <f>SUM(F11:G11)</f>
        <v>73124</v>
      </c>
    </row>
    <row r="12" spans="2:13" ht="17.100000000000001" customHeight="1" thickBot="1" x14ac:dyDescent="0.25">
      <c r="B12" s="117" t="s">
        <v>50</v>
      </c>
      <c r="C12" s="116">
        <v>167378</v>
      </c>
      <c r="D12" s="116">
        <v>0</v>
      </c>
      <c r="E12" s="116">
        <f>SUM(C12:D12)</f>
        <v>167378</v>
      </c>
      <c r="F12" s="116">
        <v>50923</v>
      </c>
      <c r="G12" s="116">
        <v>0</v>
      </c>
      <c r="H12" s="115">
        <f>SUM(F12:G12)</f>
        <v>50923</v>
      </c>
      <c r="L12" s="22" t="s">
        <v>44</v>
      </c>
    </row>
    <row r="13" spans="2:13" ht="17.100000000000001" hidden="1" customHeight="1" thickBot="1" x14ac:dyDescent="0.25">
      <c r="B13" s="114" t="s">
        <v>49</v>
      </c>
      <c r="C13" s="113">
        <v>0</v>
      </c>
      <c r="D13" s="113"/>
      <c r="E13" s="113">
        <f>SUM(C13:D13)</f>
        <v>0</v>
      </c>
      <c r="F13" s="113">
        <v>0</v>
      </c>
      <c r="G13" s="113">
        <v>0</v>
      </c>
      <c r="H13" s="112">
        <f>SUM(F13:G13)</f>
        <v>0</v>
      </c>
    </row>
    <row r="14" spans="2:13" ht="17.100000000000001" customHeight="1" thickBot="1" x14ac:dyDescent="0.25">
      <c r="B14" s="102" t="s">
        <v>48</v>
      </c>
      <c r="C14" s="42">
        <f t="shared" ref="C14:H14" si="3">SUM(C15:C16)</f>
        <v>4177</v>
      </c>
      <c r="D14" s="42">
        <f t="shared" si="3"/>
        <v>0</v>
      </c>
      <c r="E14" s="42">
        <f t="shared" si="3"/>
        <v>4177</v>
      </c>
      <c r="F14" s="42">
        <f t="shared" si="3"/>
        <v>6846</v>
      </c>
      <c r="G14" s="42">
        <f t="shared" si="3"/>
        <v>0</v>
      </c>
      <c r="H14" s="101">
        <f t="shared" si="3"/>
        <v>6846</v>
      </c>
    </row>
    <row r="15" spans="2:13" ht="17.100000000000001" customHeight="1" x14ac:dyDescent="0.2">
      <c r="B15" s="111" t="s">
        <v>47</v>
      </c>
      <c r="C15" s="110">
        <v>4022</v>
      </c>
      <c r="D15" s="110">
        <v>0</v>
      </c>
      <c r="E15" s="110">
        <f>SUM(C15:D15)</f>
        <v>4022</v>
      </c>
      <c r="F15" s="110">
        <v>4192</v>
      </c>
      <c r="G15" s="110">
        <v>0</v>
      </c>
      <c r="H15" s="109">
        <f>SUM(F15:G15)</f>
        <v>4192</v>
      </c>
      <c r="M15" s="22" t="s">
        <v>44</v>
      </c>
    </row>
    <row r="16" spans="2:13" ht="17.100000000000001" customHeight="1" thickBot="1" x14ac:dyDescent="0.25">
      <c r="B16" s="108" t="s">
        <v>46</v>
      </c>
      <c r="C16" s="107">
        <v>155</v>
      </c>
      <c r="D16" s="107">
        <v>0</v>
      </c>
      <c r="E16" s="107">
        <f>SUM(C16:D16)</f>
        <v>155</v>
      </c>
      <c r="F16" s="107">
        <v>2654</v>
      </c>
      <c r="G16" s="107">
        <v>0</v>
      </c>
      <c r="H16" s="106">
        <f>SUM(F16:G16)</f>
        <v>2654</v>
      </c>
    </row>
    <row r="17" spans="2:10" ht="9.9499999999999993" customHeight="1" thickBot="1" x14ac:dyDescent="0.25">
      <c r="B17" s="105"/>
      <c r="C17" s="104"/>
      <c r="D17" s="104"/>
      <c r="E17" s="104"/>
      <c r="F17" s="103"/>
      <c r="G17" s="103"/>
      <c r="H17" s="103"/>
    </row>
    <row r="18" spans="2:10" ht="24.95" customHeight="1" thickBot="1" x14ac:dyDescent="0.25">
      <c r="B18" s="102" t="s">
        <v>45</v>
      </c>
      <c r="C18" s="42">
        <f t="shared" ref="C18:H18" si="4">C4+C14</f>
        <v>3046371</v>
      </c>
      <c r="D18" s="42">
        <f t="shared" si="4"/>
        <v>754263</v>
      </c>
      <c r="E18" s="42">
        <f t="shared" si="4"/>
        <v>3800634</v>
      </c>
      <c r="F18" s="42">
        <f t="shared" si="4"/>
        <v>540844</v>
      </c>
      <c r="G18" s="42">
        <f t="shared" si="4"/>
        <v>16697</v>
      </c>
      <c r="H18" s="101">
        <f t="shared" si="4"/>
        <v>557541</v>
      </c>
      <c r="J18" s="22" t="s">
        <v>44</v>
      </c>
    </row>
    <row r="20" spans="2:10" x14ac:dyDescent="0.2">
      <c r="C20" s="100"/>
      <c r="D20" s="100"/>
      <c r="E20" s="98">
        <f>E18-[1]Bilans!D5</f>
        <v>0</v>
      </c>
      <c r="F20" s="98"/>
      <c r="G20" s="99"/>
      <c r="H20" s="98">
        <f>H18-[1]Bilans!E5</f>
        <v>0</v>
      </c>
    </row>
    <row r="21" spans="2:10" x14ac:dyDescent="0.2">
      <c r="B21" s="91"/>
      <c r="C21" s="90"/>
      <c r="D21" s="90"/>
    </row>
    <row r="22" spans="2:10" x14ac:dyDescent="0.2">
      <c r="B22" s="93"/>
      <c r="C22" s="92"/>
      <c r="D22" s="92"/>
    </row>
    <row r="23" spans="2:10" x14ac:dyDescent="0.2">
      <c r="B23" s="93"/>
      <c r="C23" s="92"/>
      <c r="D23" s="92"/>
    </row>
    <row r="24" spans="2:10" x14ac:dyDescent="0.2">
      <c r="B24" s="93"/>
      <c r="C24" s="92"/>
      <c r="D24" s="92"/>
    </row>
    <row r="25" spans="2:10" x14ac:dyDescent="0.2">
      <c r="B25" s="91"/>
      <c r="C25" s="90"/>
      <c r="D25" s="90"/>
    </row>
    <row r="26" spans="2:10" x14ac:dyDescent="0.2">
      <c r="B26" s="93"/>
      <c r="C26" s="92"/>
      <c r="D26" s="92"/>
    </row>
    <row r="27" spans="2:10" x14ac:dyDescent="0.2">
      <c r="B27" s="91"/>
      <c r="C27" s="90"/>
      <c r="D27" s="90"/>
    </row>
    <row r="28" spans="2:10" x14ac:dyDescent="0.2">
      <c r="B28" s="93"/>
      <c r="C28" s="92"/>
      <c r="D28" s="92"/>
    </row>
    <row r="29" spans="2:10" x14ac:dyDescent="0.2">
      <c r="B29" s="93"/>
      <c r="C29" s="92"/>
      <c r="D29" s="92"/>
    </row>
    <row r="30" spans="2:10" x14ac:dyDescent="0.2">
      <c r="B30" s="93"/>
      <c r="C30" s="92"/>
      <c r="D30" s="92"/>
    </row>
    <row r="31" spans="2:10" x14ac:dyDescent="0.2">
      <c r="B31" s="93"/>
      <c r="C31" s="92"/>
      <c r="D31" s="92"/>
    </row>
    <row r="32" spans="2:10" x14ac:dyDescent="0.2">
      <c r="B32" s="97"/>
      <c r="C32" s="96"/>
      <c r="D32" s="96"/>
    </row>
    <row r="33" spans="2:4" x14ac:dyDescent="0.2">
      <c r="B33" s="93"/>
      <c r="C33" s="92"/>
      <c r="D33" s="92"/>
    </row>
    <row r="34" spans="2:4" x14ac:dyDescent="0.2">
      <c r="B34" s="93"/>
      <c r="C34" s="92"/>
      <c r="D34" s="92"/>
    </row>
    <row r="35" spans="2:4" x14ac:dyDescent="0.2">
      <c r="B35" s="97"/>
      <c r="C35" s="96"/>
      <c r="D35" s="96"/>
    </row>
    <row r="36" spans="2:4" x14ac:dyDescent="0.2">
      <c r="B36" s="91"/>
      <c r="C36" s="90"/>
      <c r="D36" s="90"/>
    </row>
    <row r="37" spans="2:4" x14ac:dyDescent="0.2">
      <c r="B37" s="91"/>
      <c r="C37" s="90"/>
      <c r="D37" s="90"/>
    </row>
    <row r="39" spans="2:4" x14ac:dyDescent="0.2">
      <c r="B39" s="91"/>
      <c r="C39" s="90"/>
      <c r="D39" s="90"/>
    </row>
    <row r="41" spans="2:4" x14ac:dyDescent="0.2">
      <c r="B41" s="91"/>
      <c r="C41" s="90"/>
      <c r="D41" s="90"/>
    </row>
    <row r="42" spans="2:4" x14ac:dyDescent="0.2">
      <c r="B42" s="95"/>
      <c r="C42" s="94"/>
      <c r="D42" s="94"/>
    </row>
    <row r="43" spans="2:4" x14ac:dyDescent="0.2">
      <c r="B43" s="93"/>
      <c r="C43" s="92"/>
      <c r="D43" s="92"/>
    </row>
    <row r="44" spans="2:4" x14ac:dyDescent="0.2">
      <c r="B44" s="93"/>
      <c r="C44" s="92"/>
      <c r="D44" s="92"/>
    </row>
    <row r="45" spans="2:4" x14ac:dyDescent="0.2">
      <c r="B45" s="93"/>
      <c r="C45" s="92"/>
      <c r="D45" s="92"/>
    </row>
    <row r="46" spans="2:4" x14ac:dyDescent="0.2">
      <c r="B46" s="93"/>
      <c r="C46" s="92"/>
      <c r="D46" s="92"/>
    </row>
    <row r="47" spans="2:4" x14ac:dyDescent="0.2">
      <c r="B47" s="95"/>
      <c r="C47" s="94"/>
      <c r="D47" s="94"/>
    </row>
    <row r="48" spans="2:4" x14ac:dyDescent="0.2">
      <c r="B48" s="93"/>
      <c r="C48" s="92"/>
      <c r="D48" s="92"/>
    </row>
    <row r="49" spans="2:4" x14ac:dyDescent="0.2">
      <c r="B49" s="93"/>
      <c r="C49" s="92"/>
      <c r="D49" s="92"/>
    </row>
    <row r="50" spans="2:4" x14ac:dyDescent="0.2">
      <c r="B50" s="91"/>
      <c r="C50" s="90"/>
      <c r="D50" s="90"/>
    </row>
    <row r="52" spans="2:4" x14ac:dyDescent="0.2">
      <c r="B52" s="91"/>
      <c r="C52" s="90"/>
      <c r="D52" s="90"/>
    </row>
    <row r="54" spans="2:4" x14ac:dyDescent="0.2">
      <c r="B54" s="91"/>
      <c r="C54" s="90"/>
      <c r="D54" s="90"/>
    </row>
    <row r="55" spans="2:4" x14ac:dyDescent="0.2">
      <c r="B55" s="93"/>
      <c r="C55" s="92"/>
      <c r="D55" s="92"/>
    </row>
    <row r="56" spans="2:4" x14ac:dyDescent="0.2">
      <c r="B56" s="91"/>
      <c r="C56" s="90"/>
      <c r="D56" s="90"/>
    </row>
    <row r="60" spans="2:4" x14ac:dyDescent="0.2">
      <c r="B60" s="91"/>
      <c r="C60" s="90"/>
      <c r="D60" s="90"/>
    </row>
    <row r="61" spans="2:4" x14ac:dyDescent="0.2">
      <c r="B61" s="91"/>
      <c r="C61" s="90"/>
      <c r="D61" s="90"/>
    </row>
    <row r="62" spans="2:4" x14ac:dyDescent="0.2">
      <c r="B62" s="95"/>
      <c r="C62" s="94"/>
      <c r="D62" s="94"/>
    </row>
    <row r="63" spans="2:4" x14ac:dyDescent="0.2">
      <c r="B63" s="93"/>
      <c r="C63" s="92"/>
      <c r="D63" s="92"/>
    </row>
    <row r="64" spans="2:4" x14ac:dyDescent="0.2">
      <c r="B64" s="93"/>
      <c r="C64" s="92"/>
      <c r="D64" s="92"/>
    </row>
    <row r="65" spans="2:4" x14ac:dyDescent="0.2">
      <c r="B65" s="93"/>
      <c r="C65" s="92"/>
      <c r="D65" s="92"/>
    </row>
    <row r="66" spans="2:4" x14ac:dyDescent="0.2">
      <c r="B66" s="93"/>
      <c r="C66" s="92"/>
      <c r="D66" s="92"/>
    </row>
    <row r="67" spans="2:4" x14ac:dyDescent="0.2">
      <c r="B67" s="91"/>
      <c r="C67" s="90"/>
      <c r="D67" s="90"/>
    </row>
    <row r="68" spans="2:4" x14ac:dyDescent="0.2">
      <c r="B68" s="93"/>
      <c r="C68" s="92"/>
      <c r="D68" s="92"/>
    </row>
    <row r="69" spans="2:4" x14ac:dyDescent="0.2">
      <c r="B69" s="93"/>
      <c r="C69" s="92"/>
      <c r="D69" s="92"/>
    </row>
    <row r="70" spans="2:4" x14ac:dyDescent="0.2">
      <c r="B70" s="93"/>
      <c r="C70" s="92"/>
      <c r="D70" s="92"/>
    </row>
    <row r="71" spans="2:4" x14ac:dyDescent="0.2">
      <c r="B71" s="91"/>
      <c r="C71" s="90"/>
      <c r="D71" s="90"/>
    </row>
    <row r="72" spans="2:4" x14ac:dyDescent="0.2">
      <c r="B72" s="93"/>
      <c r="C72" s="92"/>
      <c r="D72" s="92"/>
    </row>
    <row r="73" spans="2:4" x14ac:dyDescent="0.2">
      <c r="B73" s="91"/>
      <c r="C73" s="90"/>
      <c r="D73" s="90"/>
    </row>
    <row r="74" spans="2:4" x14ac:dyDescent="0.2">
      <c r="B74" s="93"/>
      <c r="C74" s="92"/>
      <c r="D74" s="92"/>
    </row>
    <row r="75" spans="2:4" x14ac:dyDescent="0.2">
      <c r="B75" s="93"/>
      <c r="C75" s="92"/>
      <c r="D75" s="92"/>
    </row>
    <row r="76" spans="2:4" x14ac:dyDescent="0.2">
      <c r="B76" s="93"/>
      <c r="C76" s="92"/>
      <c r="D76" s="92"/>
    </row>
    <row r="77" spans="2:4" x14ac:dyDescent="0.2">
      <c r="B77" s="93"/>
      <c r="C77" s="92"/>
      <c r="D77" s="92"/>
    </row>
    <row r="78" spans="2:4" x14ac:dyDescent="0.2">
      <c r="B78" s="97"/>
      <c r="C78" s="96"/>
      <c r="D78" s="96"/>
    </row>
    <row r="79" spans="2:4" x14ac:dyDescent="0.2">
      <c r="B79" s="93"/>
      <c r="C79" s="92"/>
      <c r="D79" s="92"/>
    </row>
    <row r="80" spans="2:4" x14ac:dyDescent="0.2">
      <c r="B80" s="93"/>
      <c r="C80" s="92"/>
      <c r="D80" s="92"/>
    </row>
    <row r="81" spans="2:4" x14ac:dyDescent="0.2">
      <c r="B81" s="97"/>
      <c r="C81" s="96"/>
      <c r="D81" s="96"/>
    </row>
    <row r="82" spans="2:4" x14ac:dyDescent="0.2">
      <c r="B82" s="91"/>
      <c r="C82" s="90"/>
      <c r="D82" s="90"/>
    </row>
    <row r="83" spans="2:4" x14ac:dyDescent="0.2">
      <c r="B83" s="91"/>
      <c r="C83" s="90"/>
      <c r="D83" s="90"/>
    </row>
    <row r="85" spans="2:4" x14ac:dyDescent="0.2">
      <c r="B85" s="91"/>
      <c r="C85" s="90"/>
      <c r="D85" s="90"/>
    </row>
    <row r="87" spans="2:4" x14ac:dyDescent="0.2">
      <c r="B87" s="91"/>
      <c r="C87" s="90"/>
      <c r="D87" s="90"/>
    </row>
    <row r="88" spans="2:4" x14ac:dyDescent="0.2">
      <c r="B88" s="95"/>
      <c r="C88" s="94"/>
      <c r="D88" s="94"/>
    </row>
    <row r="89" spans="2:4" x14ac:dyDescent="0.2">
      <c r="B89" s="93"/>
      <c r="C89" s="92"/>
      <c r="D89" s="92"/>
    </row>
    <row r="90" spans="2:4" x14ac:dyDescent="0.2">
      <c r="B90" s="93"/>
      <c r="C90" s="92"/>
      <c r="D90" s="92"/>
    </row>
    <row r="91" spans="2:4" x14ac:dyDescent="0.2">
      <c r="B91" s="93"/>
      <c r="C91" s="92"/>
      <c r="D91" s="92"/>
    </row>
    <row r="92" spans="2:4" x14ac:dyDescent="0.2">
      <c r="B92" s="93"/>
      <c r="C92" s="92"/>
      <c r="D92" s="92"/>
    </row>
    <row r="93" spans="2:4" x14ac:dyDescent="0.2">
      <c r="B93" s="95"/>
      <c r="C93" s="94"/>
      <c r="D93" s="94"/>
    </row>
    <row r="94" spans="2:4" x14ac:dyDescent="0.2">
      <c r="B94" s="93"/>
      <c r="C94" s="92"/>
      <c r="D94" s="92"/>
    </row>
    <row r="95" spans="2:4" x14ac:dyDescent="0.2">
      <c r="B95" s="93"/>
      <c r="C95" s="92"/>
      <c r="D95" s="92"/>
    </row>
    <row r="96" spans="2:4" x14ac:dyDescent="0.2">
      <c r="B96" s="91"/>
      <c r="C96" s="90"/>
      <c r="D96" s="90"/>
    </row>
    <row r="98" spans="2:4" x14ac:dyDescent="0.2">
      <c r="B98" s="91"/>
      <c r="C98" s="90"/>
      <c r="D98" s="90"/>
    </row>
    <row r="100" spans="2:4" x14ac:dyDescent="0.2">
      <c r="B100" s="91"/>
      <c r="C100" s="90"/>
      <c r="D100" s="90"/>
    </row>
    <row r="101" spans="2:4" x14ac:dyDescent="0.2">
      <c r="B101" s="93"/>
      <c r="C101" s="92"/>
      <c r="D101" s="92"/>
    </row>
    <row r="102" spans="2:4" x14ac:dyDescent="0.2">
      <c r="B102" s="91"/>
      <c r="C102" s="90"/>
      <c r="D102" s="90"/>
    </row>
    <row r="106" spans="2:4" x14ac:dyDescent="0.2">
      <c r="B106" s="91"/>
      <c r="C106" s="90"/>
      <c r="D106" s="90"/>
    </row>
    <row r="107" spans="2:4" x14ac:dyDescent="0.2">
      <c r="B107" s="91"/>
      <c r="C107" s="90"/>
      <c r="D107" s="90"/>
    </row>
    <row r="108" spans="2:4" x14ac:dyDescent="0.2">
      <c r="B108" s="95"/>
      <c r="C108" s="94"/>
      <c r="D108" s="94"/>
    </row>
    <row r="109" spans="2:4" x14ac:dyDescent="0.2">
      <c r="B109" s="93"/>
      <c r="C109" s="92"/>
      <c r="D109" s="92"/>
    </row>
    <row r="110" spans="2:4" x14ac:dyDescent="0.2">
      <c r="B110" s="93"/>
      <c r="C110" s="92"/>
      <c r="D110" s="92"/>
    </row>
    <row r="111" spans="2:4" x14ac:dyDescent="0.2">
      <c r="B111" s="93"/>
      <c r="C111" s="92"/>
      <c r="D111" s="92"/>
    </row>
    <row r="112" spans="2:4" x14ac:dyDescent="0.2">
      <c r="B112" s="93"/>
      <c r="C112" s="92"/>
      <c r="D112" s="92"/>
    </row>
    <row r="113" spans="2:4" x14ac:dyDescent="0.2">
      <c r="B113" s="91"/>
      <c r="C113" s="90"/>
      <c r="D113" s="90"/>
    </row>
    <row r="114" spans="2:4" x14ac:dyDescent="0.2">
      <c r="B114" s="93"/>
      <c r="C114" s="92"/>
      <c r="D114" s="92"/>
    </row>
    <row r="115" spans="2:4" x14ac:dyDescent="0.2">
      <c r="B115" s="93"/>
      <c r="C115" s="92"/>
      <c r="D115" s="92"/>
    </row>
    <row r="116" spans="2:4" x14ac:dyDescent="0.2">
      <c r="B116" s="93"/>
      <c r="C116" s="92"/>
      <c r="D116" s="92"/>
    </row>
    <row r="117" spans="2:4" x14ac:dyDescent="0.2">
      <c r="B117" s="91"/>
      <c r="C117" s="90"/>
      <c r="D117" s="90"/>
    </row>
    <row r="118" spans="2:4" x14ac:dyDescent="0.2">
      <c r="B118" s="93"/>
      <c r="C118" s="92"/>
      <c r="D118" s="92"/>
    </row>
    <row r="119" spans="2:4" x14ac:dyDescent="0.2">
      <c r="B119" s="91"/>
      <c r="C119" s="90"/>
      <c r="D119" s="90"/>
    </row>
    <row r="120" spans="2:4" x14ac:dyDescent="0.2">
      <c r="B120" s="93"/>
      <c r="C120" s="92"/>
      <c r="D120" s="92"/>
    </row>
    <row r="121" spans="2:4" x14ac:dyDescent="0.2">
      <c r="B121" s="93"/>
      <c r="C121" s="92"/>
      <c r="D121" s="92"/>
    </row>
    <row r="122" spans="2:4" x14ac:dyDescent="0.2">
      <c r="B122" s="93"/>
      <c r="C122" s="92"/>
      <c r="D122" s="92"/>
    </row>
    <row r="123" spans="2:4" x14ac:dyDescent="0.2">
      <c r="B123" s="93"/>
      <c r="C123" s="92"/>
      <c r="D123" s="92"/>
    </row>
    <row r="124" spans="2:4" x14ac:dyDescent="0.2">
      <c r="B124" s="97"/>
      <c r="C124" s="96"/>
      <c r="D124" s="96"/>
    </row>
    <row r="125" spans="2:4" x14ac:dyDescent="0.2">
      <c r="B125" s="93"/>
      <c r="C125" s="92"/>
      <c r="D125" s="92"/>
    </row>
    <row r="126" spans="2:4" x14ac:dyDescent="0.2">
      <c r="B126" s="93"/>
      <c r="C126" s="92"/>
      <c r="D126" s="92"/>
    </row>
    <row r="127" spans="2:4" x14ac:dyDescent="0.2">
      <c r="B127" s="97"/>
      <c r="C127" s="96"/>
      <c r="D127" s="96"/>
    </row>
    <row r="128" spans="2:4" x14ac:dyDescent="0.2">
      <c r="B128" s="91"/>
      <c r="C128" s="90"/>
      <c r="D128" s="90"/>
    </row>
    <row r="129" spans="2:4" x14ac:dyDescent="0.2">
      <c r="B129" s="91"/>
      <c r="C129" s="90"/>
      <c r="D129" s="90"/>
    </row>
    <row r="131" spans="2:4" x14ac:dyDescent="0.2">
      <c r="B131" s="91"/>
      <c r="C131" s="90"/>
      <c r="D131" s="90"/>
    </row>
    <row r="133" spans="2:4" x14ac:dyDescent="0.2">
      <c r="B133" s="91"/>
      <c r="C133" s="90"/>
      <c r="D133" s="90"/>
    </row>
    <row r="134" spans="2:4" x14ac:dyDescent="0.2">
      <c r="B134" s="95"/>
      <c r="C134" s="94"/>
      <c r="D134" s="94"/>
    </row>
    <row r="135" spans="2:4" x14ac:dyDescent="0.2">
      <c r="B135" s="93"/>
      <c r="C135" s="92"/>
      <c r="D135" s="92"/>
    </row>
    <row r="136" spans="2:4" x14ac:dyDescent="0.2">
      <c r="B136" s="93"/>
      <c r="C136" s="92"/>
      <c r="D136" s="92"/>
    </row>
    <row r="137" spans="2:4" x14ac:dyDescent="0.2">
      <c r="B137" s="93"/>
      <c r="C137" s="92"/>
      <c r="D137" s="92"/>
    </row>
    <row r="138" spans="2:4" x14ac:dyDescent="0.2">
      <c r="B138" s="93"/>
      <c r="C138" s="92"/>
      <c r="D138" s="92"/>
    </row>
    <row r="139" spans="2:4" x14ac:dyDescent="0.2">
      <c r="B139" s="95"/>
      <c r="C139" s="94"/>
      <c r="D139" s="94"/>
    </row>
    <row r="140" spans="2:4" x14ac:dyDescent="0.2">
      <c r="B140" s="93"/>
      <c r="C140" s="92"/>
      <c r="D140" s="92"/>
    </row>
    <row r="141" spans="2:4" x14ac:dyDescent="0.2">
      <c r="B141" s="93"/>
      <c r="C141" s="92"/>
      <c r="D141" s="92"/>
    </row>
    <row r="142" spans="2:4" x14ac:dyDescent="0.2">
      <c r="B142" s="91"/>
      <c r="C142" s="90"/>
      <c r="D142" s="90"/>
    </row>
    <row r="144" spans="2:4" x14ac:dyDescent="0.2">
      <c r="B144" s="91"/>
      <c r="C144" s="90"/>
      <c r="D144" s="90"/>
    </row>
    <row r="146" spans="2:4" x14ac:dyDescent="0.2">
      <c r="B146" s="91"/>
      <c r="C146" s="90"/>
      <c r="D146" s="90"/>
    </row>
    <row r="147" spans="2:4" x14ac:dyDescent="0.2">
      <c r="B147" s="93"/>
      <c r="C147" s="92"/>
      <c r="D147" s="92"/>
    </row>
    <row r="148" spans="2:4" x14ac:dyDescent="0.2">
      <c r="B148" s="91"/>
      <c r="C148" s="90"/>
      <c r="D148" s="90"/>
    </row>
  </sheetData>
  <mergeCells count="2">
    <mergeCell ref="C2:E2"/>
    <mergeCell ref="F2:H2"/>
  </mergeCells>
  <pageMargins left="0.34" right="0.4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F1007"/>
  <sheetViews>
    <sheetView workbookViewId="0">
      <selection activeCell="I103" sqref="I103"/>
    </sheetView>
  </sheetViews>
  <sheetFormatPr defaultRowHeight="10.5" x14ac:dyDescent="0.2"/>
  <cols>
    <col min="1" max="1" width="2.28515625" style="137" customWidth="1"/>
    <col min="2" max="2" width="55.7109375" style="136" customWidth="1"/>
    <col min="3" max="6" width="13.5703125" style="135" customWidth="1"/>
    <col min="7" max="16384" width="9.140625" style="135"/>
  </cols>
  <sheetData>
    <row r="2" spans="2:6" ht="15.75" customHeight="1" thickBot="1" x14ac:dyDescent="0.25">
      <c r="B2" s="936"/>
      <c r="C2" s="934" t="s">
        <v>101</v>
      </c>
      <c r="D2" s="934"/>
      <c r="E2" s="934" t="s">
        <v>100</v>
      </c>
      <c r="F2" s="935"/>
    </row>
    <row r="3" spans="2:6" ht="15.75" customHeight="1" x14ac:dyDescent="0.2">
      <c r="B3" s="937"/>
      <c r="C3" s="169" t="s">
        <v>99</v>
      </c>
      <c r="D3" s="169" t="s">
        <v>98</v>
      </c>
      <c r="E3" s="169" t="s">
        <v>97</v>
      </c>
      <c r="F3" s="168" t="s">
        <v>96</v>
      </c>
    </row>
    <row r="4" spans="2:6" ht="15" customHeight="1" thickBot="1" x14ac:dyDescent="0.25">
      <c r="B4" s="167" t="s">
        <v>102</v>
      </c>
      <c r="C4" s="166"/>
      <c r="D4" s="166"/>
      <c r="E4" s="166"/>
      <c r="F4" s="166"/>
    </row>
    <row r="5" spans="2:6" ht="15" customHeight="1" thickBot="1" x14ac:dyDescent="0.25">
      <c r="B5" s="158" t="s">
        <v>94</v>
      </c>
      <c r="C5" s="157"/>
      <c r="D5" s="157"/>
      <c r="E5" s="157"/>
      <c r="F5" s="157"/>
    </row>
    <row r="6" spans="2:6" ht="15" customHeight="1" x14ac:dyDescent="0.2">
      <c r="B6" s="156" t="s">
        <v>93</v>
      </c>
      <c r="C6" s="155"/>
      <c r="D6" s="155"/>
      <c r="E6" s="155"/>
      <c r="F6" s="154"/>
    </row>
    <row r="7" spans="2:6" ht="15" customHeight="1" x14ac:dyDescent="0.2">
      <c r="B7" s="153" t="s">
        <v>92</v>
      </c>
      <c r="C7" s="82">
        <v>17619549</v>
      </c>
      <c r="D7" s="82">
        <v>17568019</v>
      </c>
      <c r="E7" s="82">
        <v>211526</v>
      </c>
      <c r="F7" s="151">
        <v>80443</v>
      </c>
    </row>
    <row r="8" spans="2:6" ht="15" customHeight="1" x14ac:dyDescent="0.2">
      <c r="B8" s="153" t="s">
        <v>91</v>
      </c>
      <c r="C8" s="82">
        <v>14071946</v>
      </c>
      <c r="D8" s="82">
        <v>14051750</v>
      </c>
      <c r="E8" s="82">
        <v>88148</v>
      </c>
      <c r="F8" s="151">
        <v>104858</v>
      </c>
    </row>
    <row r="9" spans="2:6" ht="15" customHeight="1" x14ac:dyDescent="0.2">
      <c r="B9" s="153" t="s">
        <v>70</v>
      </c>
      <c r="C9" s="82">
        <v>10064507</v>
      </c>
      <c r="D9" s="82">
        <v>10157587</v>
      </c>
      <c r="E9" s="82">
        <v>35145</v>
      </c>
      <c r="F9" s="151">
        <v>124419</v>
      </c>
    </row>
    <row r="10" spans="2:6" ht="15" customHeight="1" thickBot="1" x14ac:dyDescent="0.25">
      <c r="B10" s="150" t="s">
        <v>90</v>
      </c>
      <c r="C10" s="149">
        <v>1985060</v>
      </c>
      <c r="D10" s="149">
        <v>2451218</v>
      </c>
      <c r="E10" s="149">
        <v>34562</v>
      </c>
      <c r="F10" s="148">
        <v>44064</v>
      </c>
    </row>
    <row r="11" spans="2:6" ht="15" customHeight="1" thickBot="1" x14ac:dyDescent="0.25">
      <c r="B11" s="141" t="s">
        <v>89</v>
      </c>
      <c r="C11" s="77">
        <f>SUM(C7:C10)</f>
        <v>43741062</v>
      </c>
      <c r="D11" s="77">
        <f>SUM(D7:D10)</f>
        <v>44228574</v>
      </c>
      <c r="E11" s="77">
        <f>SUM(E7:E10)</f>
        <v>369381</v>
      </c>
      <c r="F11" s="76">
        <f>SUM(F7:F10)</f>
        <v>353784</v>
      </c>
    </row>
    <row r="12" spans="2:6" ht="15" customHeight="1" thickBot="1" x14ac:dyDescent="0.25">
      <c r="B12" s="156" t="s">
        <v>88</v>
      </c>
      <c r="C12" s="155">
        <v>155494</v>
      </c>
      <c r="D12" s="155">
        <v>155830</v>
      </c>
      <c r="E12" s="155">
        <v>0</v>
      </c>
      <c r="F12" s="154">
        <v>0</v>
      </c>
    </row>
    <row r="13" spans="2:6" ht="15" hidden="1" customHeight="1" x14ac:dyDescent="0.2">
      <c r="B13" s="153" t="s">
        <v>87</v>
      </c>
      <c r="C13" s="82">
        <v>0</v>
      </c>
      <c r="D13" s="82">
        <v>0</v>
      </c>
      <c r="E13" s="82">
        <v>0</v>
      </c>
      <c r="F13" s="151">
        <v>0</v>
      </c>
    </row>
    <row r="14" spans="2:6" ht="15" hidden="1" customHeight="1" thickBot="1" x14ac:dyDescent="0.25">
      <c r="B14" s="150" t="s">
        <v>86</v>
      </c>
      <c r="C14" s="149">
        <v>0</v>
      </c>
      <c r="D14" s="149">
        <v>0</v>
      </c>
      <c r="E14" s="149">
        <v>0</v>
      </c>
      <c r="F14" s="148">
        <v>0</v>
      </c>
    </row>
    <row r="15" spans="2:6" ht="15" customHeight="1" thickBot="1" x14ac:dyDescent="0.25">
      <c r="B15" s="141" t="s">
        <v>85</v>
      </c>
      <c r="C15" s="77">
        <f>SUM(C11:C14)</f>
        <v>43896556</v>
      </c>
      <c r="D15" s="77">
        <f>SUM(D11:D14)</f>
        <v>44384404</v>
      </c>
      <c r="E15" s="77">
        <f>SUM(E11:E14)</f>
        <v>369381</v>
      </c>
      <c r="F15" s="76">
        <f>SUM(F11:F14)</f>
        <v>353784</v>
      </c>
    </row>
    <row r="16" spans="2:6" ht="5.0999999999999996" customHeight="1" thickBot="1" x14ac:dyDescent="0.25">
      <c r="B16" s="165"/>
      <c r="C16" s="160"/>
      <c r="D16" s="160"/>
      <c r="E16" s="159"/>
      <c r="F16" s="159"/>
    </row>
    <row r="17" spans="2:6" ht="15" customHeight="1" thickBot="1" x14ac:dyDescent="0.25">
      <c r="B17" s="158" t="s">
        <v>84</v>
      </c>
      <c r="C17" s="157"/>
      <c r="D17" s="157"/>
      <c r="E17" s="157"/>
      <c r="F17" s="157"/>
    </row>
    <row r="18" spans="2:6" ht="15" customHeight="1" x14ac:dyDescent="0.2">
      <c r="B18" s="156" t="s">
        <v>83</v>
      </c>
      <c r="C18" s="155">
        <v>142353190</v>
      </c>
      <c r="D18" s="155">
        <v>142353190</v>
      </c>
      <c r="E18" s="155">
        <v>1339170</v>
      </c>
      <c r="F18" s="154">
        <v>1376516</v>
      </c>
    </row>
    <row r="19" spans="2:6" ht="15" customHeight="1" x14ac:dyDescent="0.2">
      <c r="B19" s="153" t="s">
        <v>82</v>
      </c>
      <c r="C19" s="82">
        <v>13225000</v>
      </c>
      <c r="D19" s="82">
        <v>15200000</v>
      </c>
      <c r="E19" s="82">
        <v>7383</v>
      </c>
      <c r="F19" s="151">
        <v>6204</v>
      </c>
    </row>
    <row r="20" spans="2:6" ht="24.95" customHeight="1" thickBot="1" x14ac:dyDescent="0.25">
      <c r="B20" s="153" t="s">
        <v>81</v>
      </c>
      <c r="C20" s="82">
        <v>221806</v>
      </c>
      <c r="D20" s="82">
        <v>400927</v>
      </c>
      <c r="E20" s="82">
        <v>1000</v>
      </c>
      <c r="F20" s="151">
        <v>1089</v>
      </c>
    </row>
    <row r="21" spans="2:6" ht="24.95" hidden="1" customHeight="1" thickBot="1" x14ac:dyDescent="0.25">
      <c r="B21" s="150" t="s">
        <v>80</v>
      </c>
      <c r="C21" s="149">
        <v>0</v>
      </c>
      <c r="D21" s="149">
        <v>0</v>
      </c>
      <c r="E21" s="149">
        <v>0</v>
      </c>
      <c r="F21" s="148">
        <v>0</v>
      </c>
    </row>
    <row r="22" spans="2:6" ht="24.95" customHeight="1" thickBot="1" x14ac:dyDescent="0.25">
      <c r="B22" s="141" t="s">
        <v>79</v>
      </c>
      <c r="C22" s="77">
        <f>SUM(C18:C21)</f>
        <v>155799996</v>
      </c>
      <c r="D22" s="77">
        <f>SUM(D18:D21)</f>
        <v>157954117</v>
      </c>
      <c r="E22" s="77">
        <f>SUM(E18:E21)</f>
        <v>1347553</v>
      </c>
      <c r="F22" s="76">
        <f>SUM(F18:F21)</f>
        <v>1383809</v>
      </c>
    </row>
    <row r="23" spans="2:6" ht="15" customHeight="1" thickBot="1" x14ac:dyDescent="0.25">
      <c r="B23" s="156" t="s">
        <v>78</v>
      </c>
      <c r="C23" s="155">
        <v>110543</v>
      </c>
      <c r="D23" s="155">
        <v>1473</v>
      </c>
      <c r="E23" s="155">
        <v>0</v>
      </c>
      <c r="F23" s="154">
        <v>0</v>
      </c>
    </row>
    <row r="24" spans="2:6" ht="17.100000000000001" hidden="1" customHeight="1" thickBot="1" x14ac:dyDescent="0.25">
      <c r="B24" s="150" t="s">
        <v>77</v>
      </c>
      <c r="C24" s="149">
        <v>0</v>
      </c>
      <c r="D24" s="149">
        <v>0</v>
      </c>
      <c r="E24" s="149">
        <v>0</v>
      </c>
      <c r="F24" s="148">
        <v>0</v>
      </c>
    </row>
    <row r="25" spans="2:6" ht="15" customHeight="1" thickBot="1" x14ac:dyDescent="0.25">
      <c r="B25" s="141" t="s">
        <v>76</v>
      </c>
      <c r="C25" s="77">
        <f>SUM(C22:C24)</f>
        <v>155910539</v>
      </c>
      <c r="D25" s="77">
        <f>SUM(D22:D24)</f>
        <v>157955590</v>
      </c>
      <c r="E25" s="77">
        <f>SUM(E22:E24)</f>
        <v>1347553</v>
      </c>
      <c r="F25" s="76">
        <f>SUM(F22:F24)</f>
        <v>1383809</v>
      </c>
    </row>
    <row r="26" spans="2:6" ht="5.0999999999999996" customHeight="1" thickBot="1" x14ac:dyDescent="0.25">
      <c r="B26" s="164"/>
      <c r="C26" s="163"/>
      <c r="D26" s="163"/>
      <c r="E26" s="163"/>
      <c r="F26" s="163"/>
    </row>
    <row r="27" spans="2:6" ht="15" customHeight="1" thickBot="1" x14ac:dyDescent="0.25">
      <c r="B27" s="141" t="s">
        <v>75</v>
      </c>
      <c r="C27" s="77">
        <v>2161160</v>
      </c>
      <c r="D27" s="77">
        <v>4297119</v>
      </c>
      <c r="E27" s="77">
        <v>41342</v>
      </c>
      <c r="F27" s="76">
        <v>30961</v>
      </c>
    </row>
    <row r="28" spans="2:6" ht="9.9499999999999993" customHeight="1" thickBot="1" x14ac:dyDescent="0.25">
      <c r="B28" s="162"/>
      <c r="C28" s="161"/>
      <c r="D28" s="161"/>
      <c r="E28" s="161"/>
      <c r="F28" s="161"/>
    </row>
    <row r="29" spans="2:6" ht="21.75" thickBot="1" x14ac:dyDescent="0.25">
      <c r="B29" s="141" t="s">
        <v>74</v>
      </c>
      <c r="C29" s="77">
        <f>C15+C25+C27</f>
        <v>201968255</v>
      </c>
      <c r="D29" s="77">
        <f>D15+D25+D27</f>
        <v>206637113</v>
      </c>
      <c r="E29" s="77">
        <f>E15+E25+E27</f>
        <v>1758276</v>
      </c>
      <c r="F29" s="76">
        <f>F15+F25+F27</f>
        <v>1768554</v>
      </c>
    </row>
    <row r="30" spans="2:6" ht="5.0999999999999996" customHeight="1" thickBot="1" x14ac:dyDescent="0.25">
      <c r="B30" s="35"/>
      <c r="C30" s="160"/>
      <c r="D30" s="160"/>
      <c r="E30" s="159"/>
      <c r="F30" s="159"/>
    </row>
    <row r="31" spans="2:6" ht="15" customHeight="1" thickBot="1" x14ac:dyDescent="0.25">
      <c r="B31" s="158" t="s">
        <v>73</v>
      </c>
      <c r="C31" s="157"/>
      <c r="D31" s="157"/>
      <c r="E31" s="157"/>
      <c r="F31" s="157"/>
    </row>
    <row r="32" spans="2:6" ht="21" x14ac:dyDescent="0.2">
      <c r="B32" s="156" t="s">
        <v>72</v>
      </c>
      <c r="C32" s="155">
        <f>SUM(C33:C36)</f>
        <v>7647486</v>
      </c>
      <c r="D32" s="155">
        <f>SUM(D33:D36)</f>
        <v>7647486</v>
      </c>
      <c r="E32" s="155">
        <f>SUM(E33:E36)</f>
        <v>196634</v>
      </c>
      <c r="F32" s="154">
        <f>SUM(F33:F36)</f>
        <v>26026</v>
      </c>
    </row>
    <row r="33" spans="2:6" ht="17.100000000000001" hidden="1" customHeight="1" x14ac:dyDescent="0.2">
      <c r="B33" s="153" t="s">
        <v>71</v>
      </c>
      <c r="C33" s="82">
        <v>0</v>
      </c>
      <c r="D33" s="82">
        <v>0</v>
      </c>
      <c r="E33" s="82">
        <v>0</v>
      </c>
      <c r="F33" s="151">
        <v>0</v>
      </c>
    </row>
    <row r="34" spans="2:6" ht="15" customHeight="1" x14ac:dyDescent="0.2">
      <c r="B34" s="153" t="s">
        <v>67</v>
      </c>
      <c r="C34" s="82">
        <v>7647486</v>
      </c>
      <c r="D34" s="82">
        <v>7647486</v>
      </c>
      <c r="E34" s="82">
        <v>196634</v>
      </c>
      <c r="F34" s="151">
        <v>26026</v>
      </c>
    </row>
    <row r="35" spans="2:6" ht="17.100000000000001" hidden="1" customHeight="1" x14ac:dyDescent="0.2">
      <c r="B35" s="153" t="s">
        <v>70</v>
      </c>
      <c r="C35" s="82">
        <v>0</v>
      </c>
      <c r="D35" s="82">
        <v>0</v>
      </c>
      <c r="E35" s="82">
        <v>0</v>
      </c>
      <c r="F35" s="151">
        <v>0</v>
      </c>
    </row>
    <row r="36" spans="2:6" ht="17.100000000000001" hidden="1" customHeight="1" x14ac:dyDescent="0.2">
      <c r="B36" s="153" t="s">
        <v>69</v>
      </c>
      <c r="C36" s="82">
        <v>0</v>
      </c>
      <c r="D36" s="82">
        <v>0</v>
      </c>
      <c r="E36" s="82">
        <v>0</v>
      </c>
      <c r="F36" s="151">
        <v>0</v>
      </c>
    </row>
    <row r="37" spans="2:6" ht="24.95" customHeight="1" x14ac:dyDescent="0.2">
      <c r="B37" s="153" t="s">
        <v>68</v>
      </c>
      <c r="C37" s="82">
        <f>SUM(C38:C39)</f>
        <v>2665000</v>
      </c>
      <c r="D37" s="82">
        <f>SUM(D38:D39)</f>
        <v>2665000</v>
      </c>
      <c r="E37" s="82">
        <f>SUM(E38:E39)</f>
        <v>30926</v>
      </c>
      <c r="F37" s="151">
        <f>SUM(F38:F39)</f>
        <v>1786</v>
      </c>
    </row>
    <row r="38" spans="2:6" ht="15" customHeight="1" thickBot="1" x14ac:dyDescent="0.25">
      <c r="B38" s="152" t="s">
        <v>67</v>
      </c>
      <c r="C38" s="82">
        <v>2665000</v>
      </c>
      <c r="D38" s="82">
        <v>2665000</v>
      </c>
      <c r="E38" s="82">
        <v>30926</v>
      </c>
      <c r="F38" s="151">
        <v>1786</v>
      </c>
    </row>
    <row r="39" spans="2:6" ht="17.100000000000001" hidden="1" customHeight="1" thickBot="1" x14ac:dyDescent="0.25">
      <c r="B39" s="150" t="s">
        <v>66</v>
      </c>
      <c r="C39" s="149">
        <v>0</v>
      </c>
      <c r="D39" s="149">
        <v>0</v>
      </c>
      <c r="E39" s="149">
        <v>0</v>
      </c>
      <c r="F39" s="148">
        <v>0</v>
      </c>
    </row>
    <row r="40" spans="2:6" ht="15" customHeight="1" thickBot="1" x14ac:dyDescent="0.25">
      <c r="B40" s="141" t="s">
        <v>65</v>
      </c>
      <c r="C40" s="77">
        <f>C32+C37</f>
        <v>10312486</v>
      </c>
      <c r="D40" s="77">
        <f>D32+D37</f>
        <v>10312486</v>
      </c>
      <c r="E40" s="77">
        <f>E32+E37</f>
        <v>227560</v>
      </c>
      <c r="F40" s="76">
        <f>F32+F37</f>
        <v>27812</v>
      </c>
    </row>
    <row r="41" spans="2:6" ht="15" customHeight="1" thickBot="1" x14ac:dyDescent="0.25">
      <c r="B41" s="141" t="s">
        <v>63</v>
      </c>
      <c r="C41" s="77">
        <v>0</v>
      </c>
      <c r="D41" s="77">
        <v>0</v>
      </c>
      <c r="E41" s="77">
        <v>-176989</v>
      </c>
      <c r="F41" s="76">
        <v>-197100</v>
      </c>
    </row>
    <row r="42" spans="2:6" ht="15" customHeight="1" thickBot="1" x14ac:dyDescent="0.25">
      <c r="B42" s="141" t="s">
        <v>64</v>
      </c>
      <c r="C42" s="77">
        <f>C29+C40</f>
        <v>212280741</v>
      </c>
      <c r="D42" s="77">
        <f>D29+D40</f>
        <v>216949599</v>
      </c>
      <c r="E42" s="77">
        <f>E29+E40+E41</f>
        <v>1808847</v>
      </c>
      <c r="F42" s="76">
        <f>F29+F40+F41</f>
        <v>1599266</v>
      </c>
    </row>
    <row r="43" spans="2:6" ht="5.0999999999999996" customHeight="1" thickBot="1" x14ac:dyDescent="0.25">
      <c r="B43" s="145"/>
      <c r="C43" s="144"/>
      <c r="D43" s="144"/>
      <c r="E43" s="144"/>
      <c r="F43" s="144"/>
    </row>
    <row r="44" spans="2:6" ht="15" hidden="1" customHeight="1" thickBot="1" x14ac:dyDescent="0.25">
      <c r="B44" s="141" t="s">
        <v>63</v>
      </c>
      <c r="C44" s="77">
        <v>0</v>
      </c>
      <c r="D44" s="77">
        <v>0</v>
      </c>
      <c r="E44" s="77"/>
      <c r="F44" s="76"/>
    </row>
    <row r="45" spans="2:6" ht="24.95" hidden="1" customHeight="1" thickBot="1" x14ac:dyDescent="0.25">
      <c r="B45" s="141" t="s">
        <v>62</v>
      </c>
      <c r="C45" s="77">
        <f>C42+C44</f>
        <v>212280741</v>
      </c>
      <c r="D45" s="77">
        <f>D42+D44</f>
        <v>216949599</v>
      </c>
      <c r="E45" s="77">
        <f>E42+E44</f>
        <v>1808847</v>
      </c>
      <c r="F45" s="76">
        <f>F42+F44</f>
        <v>1599266</v>
      </c>
    </row>
    <row r="46" spans="2:6" ht="5.0999999999999996" hidden="1" customHeight="1" thickBot="1" x14ac:dyDescent="0.25">
      <c r="B46" s="35"/>
      <c r="C46" s="143"/>
      <c r="D46" s="143"/>
      <c r="E46" s="142"/>
      <c r="F46" s="142"/>
    </row>
    <row r="47" spans="2:6" ht="15" customHeight="1" thickBot="1" x14ac:dyDescent="0.25">
      <c r="B47" s="141" t="s">
        <v>20</v>
      </c>
      <c r="C47" s="77">
        <v>95706104</v>
      </c>
      <c r="D47" s="77">
        <v>97390032</v>
      </c>
      <c r="E47" s="77">
        <v>608038</v>
      </c>
      <c r="F47" s="76">
        <v>522887</v>
      </c>
    </row>
    <row r="48" spans="2:6" ht="15" customHeight="1" thickBot="1" x14ac:dyDescent="0.25">
      <c r="B48" s="141" t="s">
        <v>19</v>
      </c>
      <c r="C48" s="77">
        <v>116574637</v>
      </c>
      <c r="D48" s="77">
        <v>119559567</v>
      </c>
      <c r="E48" s="77">
        <v>1200809</v>
      </c>
      <c r="F48" s="76">
        <v>1076379</v>
      </c>
    </row>
    <row r="49" spans="2:6" x14ac:dyDescent="0.2">
      <c r="C49" s="138"/>
      <c r="D49" s="138"/>
    </row>
    <row r="50" spans="2:6" x14ac:dyDescent="0.2">
      <c r="B50" s="140"/>
      <c r="C50" s="139"/>
      <c r="D50" s="139"/>
      <c r="E50" s="139"/>
      <c r="F50" s="139"/>
    </row>
    <row r="51" spans="2:6" x14ac:dyDescent="0.2">
      <c r="B51" s="140"/>
      <c r="C51" s="139"/>
      <c r="D51" s="139"/>
      <c r="E51" s="139"/>
      <c r="F51" s="139"/>
    </row>
    <row r="52" spans="2:6" ht="15.75" customHeight="1" thickBot="1" x14ac:dyDescent="0.25">
      <c r="B52" s="936"/>
      <c r="C52" s="934" t="s">
        <v>101</v>
      </c>
      <c r="D52" s="934"/>
      <c r="E52" s="934" t="s">
        <v>100</v>
      </c>
      <c r="F52" s="935"/>
    </row>
    <row r="53" spans="2:6" ht="15.75" customHeight="1" x14ac:dyDescent="0.2">
      <c r="B53" s="937"/>
      <c r="C53" s="169" t="s">
        <v>99</v>
      </c>
      <c r="D53" s="169" t="s">
        <v>98</v>
      </c>
      <c r="E53" s="169" t="s">
        <v>97</v>
      </c>
      <c r="F53" s="168" t="s">
        <v>96</v>
      </c>
    </row>
    <row r="54" spans="2:6" ht="15" customHeight="1" thickBot="1" x14ac:dyDescent="0.25">
      <c r="B54" s="167" t="s">
        <v>95</v>
      </c>
      <c r="C54" s="166"/>
      <c r="D54" s="166"/>
      <c r="E54" s="166"/>
      <c r="F54" s="166"/>
    </row>
    <row r="55" spans="2:6" ht="15" customHeight="1" thickBot="1" x14ac:dyDescent="0.25">
      <c r="B55" s="158" t="s">
        <v>94</v>
      </c>
      <c r="C55" s="157"/>
      <c r="D55" s="157"/>
      <c r="E55" s="157"/>
      <c r="F55" s="157"/>
    </row>
    <row r="56" spans="2:6" ht="15" customHeight="1" x14ac:dyDescent="0.2">
      <c r="B56" s="156" t="s">
        <v>93</v>
      </c>
      <c r="C56" s="155"/>
      <c r="D56" s="155"/>
      <c r="E56" s="155"/>
      <c r="F56" s="154"/>
    </row>
    <row r="57" spans="2:6" ht="15" customHeight="1" x14ac:dyDescent="0.2">
      <c r="B57" s="153" t="s">
        <v>92</v>
      </c>
      <c r="C57" s="82">
        <v>13962295</v>
      </c>
      <c r="D57" s="82">
        <v>14011671</v>
      </c>
      <c r="E57" s="82">
        <v>105911</v>
      </c>
      <c r="F57" s="151">
        <v>118931</v>
      </c>
    </row>
    <row r="58" spans="2:6" ht="15" customHeight="1" x14ac:dyDescent="0.2">
      <c r="B58" s="153" t="s">
        <v>91</v>
      </c>
      <c r="C58" s="82">
        <v>16318308</v>
      </c>
      <c r="D58" s="82">
        <v>16195356</v>
      </c>
      <c r="E58" s="82">
        <v>151039</v>
      </c>
      <c r="F58" s="151">
        <v>90225</v>
      </c>
    </row>
    <row r="59" spans="2:6" ht="15" customHeight="1" x14ac:dyDescent="0.2">
      <c r="B59" s="153" t="s">
        <v>70</v>
      </c>
      <c r="C59" s="82">
        <v>6446870</v>
      </c>
      <c r="D59" s="82">
        <v>6492050</v>
      </c>
      <c r="E59" s="82">
        <v>43495</v>
      </c>
      <c r="F59" s="151">
        <v>78674</v>
      </c>
    </row>
    <row r="60" spans="2:6" ht="15" customHeight="1" thickBot="1" x14ac:dyDescent="0.25">
      <c r="B60" s="150" t="s">
        <v>90</v>
      </c>
      <c r="C60" s="149">
        <v>3439254</v>
      </c>
      <c r="D60" s="149">
        <v>4097450</v>
      </c>
      <c r="E60" s="149">
        <v>47872</v>
      </c>
      <c r="F60" s="148">
        <v>54577</v>
      </c>
    </row>
    <row r="61" spans="2:6" ht="15" customHeight="1" thickBot="1" x14ac:dyDescent="0.25">
      <c r="B61" s="141" t="s">
        <v>89</v>
      </c>
      <c r="C61" s="77">
        <f>SUM(C57:C60)</f>
        <v>40166727</v>
      </c>
      <c r="D61" s="77">
        <f>SUM(D57:D60)</f>
        <v>40796527</v>
      </c>
      <c r="E61" s="77">
        <f>SUM(E57:E60)</f>
        <v>348317</v>
      </c>
      <c r="F61" s="76">
        <f>SUM(F57:F60)</f>
        <v>342407</v>
      </c>
    </row>
    <row r="62" spans="2:6" ht="15" customHeight="1" thickBot="1" x14ac:dyDescent="0.25">
      <c r="B62" s="156" t="s">
        <v>88</v>
      </c>
      <c r="C62" s="155">
        <v>80433</v>
      </c>
      <c r="D62" s="155">
        <v>80339</v>
      </c>
      <c r="E62" s="155">
        <v>0</v>
      </c>
      <c r="F62" s="154">
        <v>0</v>
      </c>
    </row>
    <row r="63" spans="2:6" ht="15" hidden="1" customHeight="1" x14ac:dyDescent="0.2">
      <c r="B63" s="153" t="s">
        <v>87</v>
      </c>
      <c r="C63" s="82">
        <v>0</v>
      </c>
      <c r="D63" s="82">
        <v>0</v>
      </c>
      <c r="E63" s="82">
        <v>0</v>
      </c>
      <c r="F63" s="151">
        <v>0</v>
      </c>
    </row>
    <row r="64" spans="2:6" ht="15" hidden="1" customHeight="1" thickBot="1" x14ac:dyDescent="0.25">
      <c r="B64" s="150" t="s">
        <v>86</v>
      </c>
      <c r="C64" s="149">
        <v>0</v>
      </c>
      <c r="D64" s="149">
        <v>0</v>
      </c>
      <c r="E64" s="149">
        <v>0</v>
      </c>
      <c r="F64" s="148">
        <v>0</v>
      </c>
    </row>
    <row r="65" spans="2:6" ht="15" customHeight="1" thickBot="1" x14ac:dyDescent="0.25">
      <c r="B65" s="141" t="s">
        <v>85</v>
      </c>
      <c r="C65" s="77">
        <f>SUM(C61:C64)</f>
        <v>40247160</v>
      </c>
      <c r="D65" s="77">
        <f>SUM(D61:D64)</f>
        <v>40876866</v>
      </c>
      <c r="E65" s="77">
        <f>SUM(E61:E64)</f>
        <v>348317</v>
      </c>
      <c r="F65" s="76">
        <f>SUM(F61:F64)</f>
        <v>342407</v>
      </c>
    </row>
    <row r="66" spans="2:6" ht="5.0999999999999996" customHeight="1" thickBot="1" x14ac:dyDescent="0.25">
      <c r="B66" s="165"/>
      <c r="C66" s="160"/>
      <c r="D66" s="160"/>
      <c r="E66" s="159"/>
      <c r="F66" s="159"/>
    </row>
    <row r="67" spans="2:6" ht="15" customHeight="1" thickBot="1" x14ac:dyDescent="0.25">
      <c r="B67" s="158" t="s">
        <v>84</v>
      </c>
      <c r="C67" s="157"/>
      <c r="D67" s="157"/>
      <c r="E67" s="157"/>
      <c r="F67" s="157"/>
    </row>
    <row r="68" spans="2:6" ht="15" customHeight="1" x14ac:dyDescent="0.2">
      <c r="B68" s="156" t="s">
        <v>83</v>
      </c>
      <c r="C68" s="155">
        <v>205093783</v>
      </c>
      <c r="D68" s="155">
        <v>205093783</v>
      </c>
      <c r="E68" s="155">
        <v>2758408</v>
      </c>
      <c r="F68" s="154">
        <v>2789736</v>
      </c>
    </row>
    <row r="69" spans="2:6" ht="15" customHeight="1" x14ac:dyDescent="0.2">
      <c r="B69" s="153" t="s">
        <v>82</v>
      </c>
      <c r="C69" s="82">
        <v>30032000</v>
      </c>
      <c r="D69" s="82">
        <v>37839000</v>
      </c>
      <c r="E69" s="82">
        <v>22713</v>
      </c>
      <c r="F69" s="151">
        <v>19186</v>
      </c>
    </row>
    <row r="70" spans="2:6" ht="24.95" customHeight="1" thickBot="1" x14ac:dyDescent="0.25">
      <c r="B70" s="153" t="s">
        <v>81</v>
      </c>
      <c r="C70" s="82">
        <v>222315</v>
      </c>
      <c r="D70" s="82">
        <v>326127</v>
      </c>
      <c r="E70" s="82">
        <v>2267</v>
      </c>
      <c r="F70" s="151">
        <v>2571</v>
      </c>
    </row>
    <row r="71" spans="2:6" ht="24.95" hidden="1" customHeight="1" thickBot="1" x14ac:dyDescent="0.25">
      <c r="B71" s="150" t="s">
        <v>80</v>
      </c>
      <c r="C71" s="149">
        <v>0</v>
      </c>
      <c r="D71" s="149">
        <v>0</v>
      </c>
      <c r="E71" s="149">
        <v>0</v>
      </c>
      <c r="F71" s="148">
        <v>0</v>
      </c>
    </row>
    <row r="72" spans="2:6" ht="24.95" customHeight="1" thickBot="1" x14ac:dyDescent="0.25">
      <c r="B72" s="141" t="s">
        <v>79</v>
      </c>
      <c r="C72" s="77">
        <f>SUM(C68:C71)</f>
        <v>235348098</v>
      </c>
      <c r="D72" s="77">
        <f>SUM(D68:D71)</f>
        <v>243258910</v>
      </c>
      <c r="E72" s="77">
        <f>SUM(E68:E71)</f>
        <v>2783388</v>
      </c>
      <c r="F72" s="76">
        <f>SUM(F68:F71)</f>
        <v>2811493</v>
      </c>
    </row>
    <row r="73" spans="2:6" ht="15" customHeight="1" thickBot="1" x14ac:dyDescent="0.25">
      <c r="B73" s="156" t="s">
        <v>78</v>
      </c>
      <c r="C73" s="155">
        <v>0</v>
      </c>
      <c r="D73" s="155">
        <v>738</v>
      </c>
      <c r="E73" s="155">
        <v>0</v>
      </c>
      <c r="F73" s="154">
        <v>0</v>
      </c>
    </row>
    <row r="74" spans="2:6" ht="17.100000000000001" hidden="1" customHeight="1" thickBot="1" x14ac:dyDescent="0.25">
      <c r="B74" s="150" t="s">
        <v>77</v>
      </c>
      <c r="C74" s="149">
        <v>0</v>
      </c>
      <c r="D74" s="149">
        <v>0</v>
      </c>
      <c r="E74" s="149">
        <v>0</v>
      </c>
      <c r="F74" s="148">
        <v>0</v>
      </c>
    </row>
    <row r="75" spans="2:6" ht="17.100000000000001" customHeight="1" thickBot="1" x14ac:dyDescent="0.25">
      <c r="B75" s="141" t="s">
        <v>76</v>
      </c>
      <c r="C75" s="77">
        <f>SUM(C72:C74)</f>
        <v>235348098</v>
      </c>
      <c r="D75" s="77">
        <f>SUM(D72:D74)</f>
        <v>243259648</v>
      </c>
      <c r="E75" s="77">
        <f>SUM(E72:E74)</f>
        <v>2783388</v>
      </c>
      <c r="F75" s="76">
        <f>SUM(F72:F74)</f>
        <v>2811493</v>
      </c>
    </row>
    <row r="76" spans="2:6" ht="5.0999999999999996" customHeight="1" thickBot="1" x14ac:dyDescent="0.25">
      <c r="B76" s="164"/>
      <c r="C76" s="163"/>
      <c r="D76" s="163"/>
      <c r="E76" s="163"/>
      <c r="F76" s="163"/>
    </row>
    <row r="77" spans="2:6" ht="15" customHeight="1" thickBot="1" x14ac:dyDescent="0.25">
      <c r="B77" s="141" t="s">
        <v>75</v>
      </c>
      <c r="C77" s="77">
        <v>2582949</v>
      </c>
      <c r="D77" s="77">
        <v>1471990</v>
      </c>
      <c r="E77" s="77">
        <v>20168</v>
      </c>
      <c r="F77" s="76">
        <v>17724</v>
      </c>
    </row>
    <row r="78" spans="2:6" ht="5.0999999999999996" customHeight="1" thickBot="1" x14ac:dyDescent="0.25">
      <c r="B78" s="162"/>
      <c r="C78" s="161"/>
      <c r="D78" s="161"/>
      <c r="E78" s="161"/>
      <c r="F78" s="161"/>
    </row>
    <row r="79" spans="2:6" ht="15" customHeight="1" thickBot="1" x14ac:dyDescent="0.25">
      <c r="B79" s="141" t="s">
        <v>74</v>
      </c>
      <c r="C79" s="77">
        <f>C65+C75+C77</f>
        <v>278178207</v>
      </c>
      <c r="D79" s="77">
        <f>D65+D75+D77</f>
        <v>285608504</v>
      </c>
      <c r="E79" s="77">
        <f>E65+E75+E77</f>
        <v>3151873</v>
      </c>
      <c r="F79" s="76">
        <f>F65+F75+F77</f>
        <v>3171624</v>
      </c>
    </row>
    <row r="80" spans="2:6" ht="5.0999999999999996" customHeight="1" thickBot="1" x14ac:dyDescent="0.25">
      <c r="B80" s="35"/>
      <c r="C80" s="160"/>
      <c r="D80" s="160"/>
      <c r="E80" s="159"/>
      <c r="F80" s="159"/>
    </row>
    <row r="81" spans="2:6" ht="15" customHeight="1" thickBot="1" x14ac:dyDescent="0.25">
      <c r="B81" s="158" t="s">
        <v>73</v>
      </c>
      <c r="C81" s="157"/>
      <c r="D81" s="157"/>
      <c r="E81" s="157"/>
      <c r="F81" s="157"/>
    </row>
    <row r="82" spans="2:6" ht="15" customHeight="1" x14ac:dyDescent="0.2">
      <c r="B82" s="156" t="s">
        <v>72</v>
      </c>
      <c r="C82" s="155">
        <f>SUM(C83:C86)</f>
        <v>5245822</v>
      </c>
      <c r="D82" s="155">
        <f>SUM(D83:D86)</f>
        <v>5245822</v>
      </c>
      <c r="E82" s="155">
        <f>SUM(E83:E86)</f>
        <v>146694</v>
      </c>
      <c r="F82" s="154">
        <f>SUM(F83:F86)</f>
        <v>2014</v>
      </c>
    </row>
    <row r="83" spans="2:6" ht="17.100000000000001" hidden="1" customHeight="1" x14ac:dyDescent="0.2">
      <c r="B83" s="153" t="s">
        <v>71</v>
      </c>
      <c r="C83" s="82">
        <v>0</v>
      </c>
      <c r="D83" s="82">
        <v>0</v>
      </c>
      <c r="E83" s="82">
        <v>0</v>
      </c>
      <c r="F83" s="151">
        <v>0</v>
      </c>
    </row>
    <row r="84" spans="2:6" ht="15" customHeight="1" x14ac:dyDescent="0.2">
      <c r="B84" s="153" t="s">
        <v>67</v>
      </c>
      <c r="C84" s="82">
        <v>5245822</v>
      </c>
      <c r="D84" s="82">
        <v>5245822</v>
      </c>
      <c r="E84" s="82">
        <v>146694</v>
      </c>
      <c r="F84" s="151">
        <v>2014</v>
      </c>
    </row>
    <row r="85" spans="2:6" ht="17.100000000000001" hidden="1" customHeight="1" x14ac:dyDescent="0.2">
      <c r="B85" s="153" t="s">
        <v>70</v>
      </c>
      <c r="C85" s="82">
        <v>0</v>
      </c>
      <c r="D85" s="82">
        <v>0</v>
      </c>
      <c r="E85" s="82">
        <v>0</v>
      </c>
      <c r="F85" s="151">
        <v>0</v>
      </c>
    </row>
    <row r="86" spans="2:6" ht="17.100000000000001" hidden="1" customHeight="1" x14ac:dyDescent="0.2">
      <c r="B86" s="153" t="s">
        <v>69</v>
      </c>
      <c r="C86" s="82">
        <v>0</v>
      </c>
      <c r="D86" s="82">
        <v>0</v>
      </c>
      <c r="E86" s="82">
        <v>0</v>
      </c>
      <c r="F86" s="151">
        <v>0</v>
      </c>
    </row>
    <row r="87" spans="2:6" ht="24.95" customHeight="1" x14ac:dyDescent="0.2">
      <c r="B87" s="153" t="s">
        <v>68</v>
      </c>
      <c r="C87" s="82">
        <f>SUM(C88:C89)</f>
        <v>2455000</v>
      </c>
      <c r="D87" s="82">
        <f>SUM(D88:D89)</f>
        <v>2455000</v>
      </c>
      <c r="E87" s="82">
        <f>SUM(E88:E89)</f>
        <v>50761</v>
      </c>
      <c r="F87" s="151">
        <f>SUM(F88:F89)</f>
        <v>0</v>
      </c>
    </row>
    <row r="88" spans="2:6" ht="17.100000000000001" customHeight="1" thickBot="1" x14ac:dyDescent="0.25">
      <c r="B88" s="152" t="s">
        <v>67</v>
      </c>
      <c r="C88" s="82">
        <v>2455000</v>
      </c>
      <c r="D88" s="82">
        <v>2455000</v>
      </c>
      <c r="E88" s="82">
        <v>50761</v>
      </c>
      <c r="F88" s="151">
        <v>0</v>
      </c>
    </row>
    <row r="89" spans="2:6" ht="17.100000000000001" hidden="1" customHeight="1" thickBot="1" x14ac:dyDescent="0.25">
      <c r="B89" s="150" t="s">
        <v>66</v>
      </c>
      <c r="C89" s="149">
        <v>0</v>
      </c>
      <c r="D89" s="149">
        <v>0</v>
      </c>
      <c r="E89" s="149">
        <v>0</v>
      </c>
      <c r="F89" s="148">
        <v>0</v>
      </c>
    </row>
    <row r="90" spans="2:6" ht="15" customHeight="1" thickBot="1" x14ac:dyDescent="0.25">
      <c r="B90" s="141" t="s">
        <v>65</v>
      </c>
      <c r="C90" s="77">
        <f>C82+C87</f>
        <v>7700822</v>
      </c>
      <c r="D90" s="77">
        <f>D82+D87</f>
        <v>7700822</v>
      </c>
      <c r="E90" s="77">
        <f>E82+E87</f>
        <v>197455</v>
      </c>
      <c r="F90" s="76">
        <f>F82+F87</f>
        <v>2014</v>
      </c>
    </row>
    <row r="91" spans="2:6" ht="5.0999999999999996" customHeight="1" thickBot="1" x14ac:dyDescent="0.25">
      <c r="B91" s="35"/>
      <c r="C91" s="147"/>
      <c r="D91" s="147"/>
      <c r="E91" s="146"/>
      <c r="F91" s="146"/>
    </row>
    <row r="92" spans="2:6" ht="15" customHeight="1" thickBot="1" x14ac:dyDescent="0.25">
      <c r="B92" s="141" t="s">
        <v>64</v>
      </c>
      <c r="C92" s="77">
        <f>C79+C90</f>
        <v>285879029</v>
      </c>
      <c r="D92" s="77">
        <f>D79+D90</f>
        <v>293309326</v>
      </c>
      <c r="E92" s="77">
        <f>E79+E90</f>
        <v>3349328</v>
      </c>
      <c r="F92" s="76">
        <f>F79+F90</f>
        <v>3173638</v>
      </c>
    </row>
    <row r="93" spans="2:6" ht="5.25" customHeight="1" thickBot="1" x14ac:dyDescent="0.25">
      <c r="B93" s="145"/>
      <c r="C93" s="144"/>
      <c r="D93" s="144"/>
      <c r="E93" s="144"/>
      <c r="F93" s="144"/>
    </row>
    <row r="94" spans="2:6" ht="17.100000000000001" hidden="1" customHeight="1" thickBot="1" x14ac:dyDescent="0.25">
      <c r="B94" s="141" t="s">
        <v>63</v>
      </c>
      <c r="C94" s="77">
        <v>0</v>
      </c>
      <c r="D94" s="77">
        <v>0</v>
      </c>
      <c r="E94" s="77">
        <v>0</v>
      </c>
      <c r="F94" s="76">
        <v>0</v>
      </c>
    </row>
    <row r="95" spans="2:6" ht="24.95" hidden="1" customHeight="1" thickBot="1" x14ac:dyDescent="0.25">
      <c r="B95" s="141" t="s">
        <v>62</v>
      </c>
      <c r="C95" s="77">
        <f>C92+C94</f>
        <v>285879029</v>
      </c>
      <c r="D95" s="77">
        <f>D92+D94</f>
        <v>293309326</v>
      </c>
      <c r="E95" s="77">
        <f>E92+E94</f>
        <v>3349328</v>
      </c>
      <c r="F95" s="76">
        <f>F92+F94</f>
        <v>3173638</v>
      </c>
    </row>
    <row r="96" spans="2:6" ht="5.0999999999999996" hidden="1" customHeight="1" thickBot="1" x14ac:dyDescent="0.25">
      <c r="B96" s="35"/>
      <c r="C96" s="143"/>
      <c r="D96" s="143"/>
      <c r="E96" s="142"/>
      <c r="F96" s="142"/>
    </row>
    <row r="97" spans="2:6" ht="15" customHeight="1" thickBot="1" x14ac:dyDescent="0.25">
      <c r="B97" s="141" t="s">
        <v>20</v>
      </c>
      <c r="C97" s="77">
        <v>142237718</v>
      </c>
      <c r="D97" s="77">
        <v>148828312</v>
      </c>
      <c r="E97" s="77">
        <v>854071</v>
      </c>
      <c r="F97" s="76">
        <v>831002</v>
      </c>
    </row>
    <row r="98" spans="2:6" ht="15" customHeight="1" thickBot="1" x14ac:dyDescent="0.25">
      <c r="B98" s="141" t="s">
        <v>19</v>
      </c>
      <c r="C98" s="77">
        <v>143641311</v>
      </c>
      <c r="D98" s="77">
        <v>144481014</v>
      </c>
      <c r="E98" s="77">
        <v>2495257</v>
      </c>
      <c r="F98" s="76">
        <v>2342636</v>
      </c>
    </row>
    <row r="99" spans="2:6" x14ac:dyDescent="0.2">
      <c r="C99" s="138"/>
      <c r="D99" s="138"/>
    </row>
    <row r="100" spans="2:6" x14ac:dyDescent="0.2">
      <c r="B100" s="140"/>
      <c r="C100" s="139"/>
      <c r="D100" s="139"/>
      <c r="E100" s="139"/>
      <c r="F100" s="139"/>
    </row>
    <row r="102" spans="2:6" x14ac:dyDescent="0.2">
      <c r="C102" s="138"/>
      <c r="D102" s="138"/>
      <c r="E102" s="139"/>
      <c r="F102" s="139"/>
    </row>
    <row r="103" spans="2:6" x14ac:dyDescent="0.2">
      <c r="C103" s="138"/>
      <c r="D103" s="138"/>
    </row>
    <row r="104" spans="2:6" x14ac:dyDescent="0.2">
      <c r="C104" s="138"/>
      <c r="D104" s="138"/>
    </row>
    <row r="105" spans="2:6" x14ac:dyDescent="0.2">
      <c r="C105" s="138"/>
      <c r="D105" s="138"/>
    </row>
    <row r="106" spans="2:6" x14ac:dyDescent="0.2">
      <c r="C106" s="138"/>
      <c r="D106" s="138"/>
    </row>
    <row r="107" spans="2:6" x14ac:dyDescent="0.2">
      <c r="C107" s="138"/>
      <c r="D107" s="138"/>
    </row>
    <row r="108" spans="2:6" x14ac:dyDescent="0.2">
      <c r="C108" s="138"/>
      <c r="D108" s="138"/>
    </row>
    <row r="109" spans="2:6" x14ac:dyDescent="0.2">
      <c r="C109" s="138"/>
      <c r="D109" s="138"/>
    </row>
    <row r="110" spans="2:6" x14ac:dyDescent="0.2">
      <c r="C110" s="138"/>
      <c r="D110" s="138"/>
    </row>
    <row r="111" spans="2:6" x14ac:dyDescent="0.2">
      <c r="C111" s="138"/>
      <c r="D111" s="138"/>
    </row>
    <row r="112" spans="2:6" x14ac:dyDescent="0.2">
      <c r="C112" s="138"/>
      <c r="D112" s="138"/>
    </row>
    <row r="113" spans="3:4" x14ac:dyDescent="0.2">
      <c r="C113" s="138"/>
      <c r="D113" s="138"/>
    </row>
    <row r="114" spans="3:4" x14ac:dyDescent="0.2">
      <c r="C114" s="138"/>
      <c r="D114" s="138"/>
    </row>
    <row r="115" spans="3:4" x14ac:dyDescent="0.2">
      <c r="C115" s="138"/>
      <c r="D115" s="138"/>
    </row>
    <row r="116" spans="3:4" x14ac:dyDescent="0.2">
      <c r="C116" s="138"/>
      <c r="D116" s="138"/>
    </row>
    <row r="117" spans="3:4" x14ac:dyDescent="0.2">
      <c r="C117" s="138"/>
      <c r="D117" s="138"/>
    </row>
    <row r="118" spans="3:4" x14ac:dyDescent="0.2">
      <c r="C118" s="138"/>
      <c r="D118" s="138"/>
    </row>
    <row r="119" spans="3:4" x14ac:dyDescent="0.2">
      <c r="C119" s="138"/>
      <c r="D119" s="138"/>
    </row>
    <row r="120" spans="3:4" x14ac:dyDescent="0.2">
      <c r="C120" s="138"/>
      <c r="D120" s="138"/>
    </row>
    <row r="121" spans="3:4" x14ac:dyDescent="0.2">
      <c r="C121" s="138"/>
      <c r="D121" s="138"/>
    </row>
    <row r="122" spans="3:4" x14ac:dyDescent="0.2">
      <c r="C122" s="138"/>
      <c r="D122" s="138"/>
    </row>
    <row r="123" spans="3:4" x14ac:dyDescent="0.2">
      <c r="C123" s="138"/>
      <c r="D123" s="138"/>
    </row>
    <row r="124" spans="3:4" x14ac:dyDescent="0.2">
      <c r="C124" s="138"/>
      <c r="D124" s="138"/>
    </row>
    <row r="125" spans="3:4" x14ac:dyDescent="0.2">
      <c r="C125" s="138"/>
      <c r="D125" s="138"/>
    </row>
    <row r="126" spans="3:4" x14ac:dyDescent="0.2">
      <c r="C126" s="138"/>
      <c r="D126" s="138"/>
    </row>
    <row r="127" spans="3:4" x14ac:dyDescent="0.2">
      <c r="C127" s="138"/>
      <c r="D127" s="138"/>
    </row>
    <row r="128" spans="3:4" x14ac:dyDescent="0.2">
      <c r="C128" s="138"/>
      <c r="D128" s="138"/>
    </row>
    <row r="129" spans="3:4" x14ac:dyDescent="0.2">
      <c r="C129" s="138"/>
      <c r="D129" s="138"/>
    </row>
    <row r="130" spans="3:4" x14ac:dyDescent="0.2">
      <c r="C130" s="138"/>
      <c r="D130" s="138"/>
    </row>
    <row r="131" spans="3:4" x14ac:dyDescent="0.2">
      <c r="C131" s="138"/>
      <c r="D131" s="138"/>
    </row>
    <row r="132" spans="3:4" x14ac:dyDescent="0.2">
      <c r="C132" s="138"/>
      <c r="D132" s="138"/>
    </row>
    <row r="133" spans="3:4" x14ac:dyDescent="0.2">
      <c r="C133" s="138"/>
      <c r="D133" s="138"/>
    </row>
    <row r="134" spans="3:4" x14ac:dyDescent="0.2">
      <c r="C134" s="138"/>
      <c r="D134" s="138"/>
    </row>
    <row r="135" spans="3:4" x14ac:dyDescent="0.2">
      <c r="C135" s="138"/>
      <c r="D135" s="138"/>
    </row>
    <row r="136" spans="3:4" x14ac:dyDescent="0.2">
      <c r="C136" s="138"/>
      <c r="D136" s="138"/>
    </row>
    <row r="137" spans="3:4" x14ac:dyDescent="0.2">
      <c r="C137" s="138"/>
      <c r="D137" s="138"/>
    </row>
    <row r="138" spans="3:4" x14ac:dyDescent="0.2">
      <c r="C138" s="138"/>
      <c r="D138" s="138"/>
    </row>
    <row r="139" spans="3:4" x14ac:dyDescent="0.2">
      <c r="C139" s="138"/>
      <c r="D139" s="138"/>
    </row>
    <row r="140" spans="3:4" x14ac:dyDescent="0.2">
      <c r="C140" s="138"/>
      <c r="D140" s="138"/>
    </row>
    <row r="141" spans="3:4" x14ac:dyDescent="0.2">
      <c r="C141" s="138"/>
      <c r="D141" s="138"/>
    </row>
    <row r="142" spans="3:4" x14ac:dyDescent="0.2">
      <c r="C142" s="138"/>
      <c r="D142" s="138"/>
    </row>
    <row r="143" spans="3:4" x14ac:dyDescent="0.2">
      <c r="C143" s="138"/>
      <c r="D143" s="138"/>
    </row>
    <row r="144" spans="3:4" x14ac:dyDescent="0.2">
      <c r="C144" s="138"/>
      <c r="D144" s="138"/>
    </row>
    <row r="145" spans="3:4" x14ac:dyDescent="0.2">
      <c r="C145" s="138"/>
      <c r="D145" s="138"/>
    </row>
    <row r="146" spans="3:4" x14ac:dyDescent="0.2">
      <c r="C146" s="138"/>
      <c r="D146" s="138"/>
    </row>
    <row r="147" spans="3:4" x14ac:dyDescent="0.2">
      <c r="C147" s="138"/>
      <c r="D147" s="138"/>
    </row>
    <row r="148" spans="3:4" x14ac:dyDescent="0.2">
      <c r="C148" s="138"/>
      <c r="D148" s="138"/>
    </row>
    <row r="149" spans="3:4" x14ac:dyDescent="0.2">
      <c r="C149" s="138"/>
      <c r="D149" s="138"/>
    </row>
    <row r="150" spans="3:4" x14ac:dyDescent="0.2">
      <c r="C150" s="138"/>
      <c r="D150" s="138"/>
    </row>
    <row r="151" spans="3:4" x14ac:dyDescent="0.2">
      <c r="C151" s="138"/>
      <c r="D151" s="138"/>
    </row>
    <row r="152" spans="3:4" x14ac:dyDescent="0.2">
      <c r="C152" s="138"/>
      <c r="D152" s="138"/>
    </row>
    <row r="153" spans="3:4" x14ac:dyDescent="0.2">
      <c r="C153" s="138"/>
      <c r="D153" s="138"/>
    </row>
    <row r="154" spans="3:4" x14ac:dyDescent="0.2">
      <c r="C154" s="138"/>
      <c r="D154" s="138"/>
    </row>
    <row r="155" spans="3:4" x14ac:dyDescent="0.2">
      <c r="C155" s="138"/>
      <c r="D155" s="138"/>
    </row>
    <row r="156" spans="3:4" x14ac:dyDescent="0.2">
      <c r="C156" s="138"/>
      <c r="D156" s="138"/>
    </row>
    <row r="157" spans="3:4" x14ac:dyDescent="0.2">
      <c r="C157" s="138"/>
      <c r="D157" s="138"/>
    </row>
    <row r="158" spans="3:4" x14ac:dyDescent="0.2">
      <c r="C158" s="138"/>
      <c r="D158" s="138"/>
    </row>
    <row r="159" spans="3:4" x14ac:dyDescent="0.2">
      <c r="C159" s="138"/>
      <c r="D159" s="138"/>
    </row>
    <row r="160" spans="3:4" x14ac:dyDescent="0.2">
      <c r="C160" s="138"/>
      <c r="D160" s="138"/>
    </row>
    <row r="161" spans="3:4" x14ac:dyDescent="0.2">
      <c r="C161" s="138"/>
      <c r="D161" s="138"/>
    </row>
    <row r="162" spans="3:4" x14ac:dyDescent="0.2">
      <c r="C162" s="138"/>
      <c r="D162" s="138"/>
    </row>
    <row r="163" spans="3:4" x14ac:dyDescent="0.2">
      <c r="C163" s="138"/>
      <c r="D163" s="138"/>
    </row>
    <row r="164" spans="3:4" x14ac:dyDescent="0.2">
      <c r="C164" s="138"/>
      <c r="D164" s="138"/>
    </row>
    <row r="165" spans="3:4" x14ac:dyDescent="0.2">
      <c r="C165" s="138"/>
      <c r="D165" s="138"/>
    </row>
    <row r="166" spans="3:4" x14ac:dyDescent="0.2">
      <c r="C166" s="138"/>
      <c r="D166" s="138"/>
    </row>
    <row r="167" spans="3:4" x14ac:dyDescent="0.2">
      <c r="C167" s="138"/>
      <c r="D167" s="138"/>
    </row>
    <row r="168" spans="3:4" x14ac:dyDescent="0.2">
      <c r="C168" s="138"/>
      <c r="D168" s="138"/>
    </row>
    <row r="169" spans="3:4" x14ac:dyDescent="0.2">
      <c r="C169" s="138"/>
      <c r="D169" s="138"/>
    </row>
    <row r="170" spans="3:4" x14ac:dyDescent="0.2">
      <c r="C170" s="138"/>
      <c r="D170" s="138"/>
    </row>
    <row r="171" spans="3:4" x14ac:dyDescent="0.2">
      <c r="C171" s="138"/>
      <c r="D171" s="138"/>
    </row>
    <row r="172" spans="3:4" x14ac:dyDescent="0.2">
      <c r="C172" s="138"/>
      <c r="D172" s="138"/>
    </row>
    <row r="173" spans="3:4" x14ac:dyDescent="0.2">
      <c r="C173" s="138"/>
      <c r="D173" s="138"/>
    </row>
    <row r="174" spans="3:4" x14ac:dyDescent="0.2">
      <c r="C174" s="138"/>
      <c r="D174" s="138"/>
    </row>
    <row r="175" spans="3:4" x14ac:dyDescent="0.2">
      <c r="C175" s="138"/>
      <c r="D175" s="138"/>
    </row>
    <row r="176" spans="3:4" x14ac:dyDescent="0.2">
      <c r="C176" s="138"/>
      <c r="D176" s="138"/>
    </row>
    <row r="177" spans="3:4" x14ac:dyDescent="0.2">
      <c r="C177" s="138"/>
      <c r="D177" s="138"/>
    </row>
    <row r="178" spans="3:4" x14ac:dyDescent="0.2">
      <c r="C178" s="138"/>
      <c r="D178" s="138"/>
    </row>
    <row r="179" spans="3:4" x14ac:dyDescent="0.2">
      <c r="C179" s="138"/>
      <c r="D179" s="138"/>
    </row>
    <row r="180" spans="3:4" x14ac:dyDescent="0.2">
      <c r="C180" s="138"/>
      <c r="D180" s="138"/>
    </row>
    <row r="181" spans="3:4" x14ac:dyDescent="0.2">
      <c r="C181" s="138"/>
      <c r="D181" s="138"/>
    </row>
    <row r="182" spans="3:4" x14ac:dyDescent="0.2">
      <c r="C182" s="138"/>
      <c r="D182" s="138"/>
    </row>
    <row r="183" spans="3:4" x14ac:dyDescent="0.2">
      <c r="C183" s="138"/>
      <c r="D183" s="138"/>
    </row>
    <row r="184" spans="3:4" x14ac:dyDescent="0.2">
      <c r="C184" s="138"/>
      <c r="D184" s="138"/>
    </row>
    <row r="185" spans="3:4" x14ac:dyDescent="0.2">
      <c r="C185" s="138"/>
      <c r="D185" s="138"/>
    </row>
    <row r="186" spans="3:4" x14ac:dyDescent="0.2">
      <c r="C186" s="138"/>
      <c r="D186" s="138"/>
    </row>
    <row r="187" spans="3:4" x14ac:dyDescent="0.2">
      <c r="C187" s="138"/>
      <c r="D187" s="138"/>
    </row>
    <row r="188" spans="3:4" x14ac:dyDescent="0.2">
      <c r="C188" s="138"/>
      <c r="D188" s="138"/>
    </row>
    <row r="189" spans="3:4" x14ac:dyDescent="0.2">
      <c r="C189" s="138"/>
      <c r="D189" s="138"/>
    </row>
    <row r="190" spans="3:4" x14ac:dyDescent="0.2">
      <c r="C190" s="138"/>
      <c r="D190" s="138"/>
    </row>
    <row r="191" spans="3:4" x14ac:dyDescent="0.2">
      <c r="C191" s="138"/>
      <c r="D191" s="138"/>
    </row>
    <row r="192" spans="3:4" x14ac:dyDescent="0.2">
      <c r="C192" s="138"/>
      <c r="D192" s="138"/>
    </row>
    <row r="193" spans="3:4" x14ac:dyDescent="0.2">
      <c r="C193" s="138"/>
      <c r="D193" s="138"/>
    </row>
    <row r="194" spans="3:4" x14ac:dyDescent="0.2">
      <c r="C194" s="138"/>
      <c r="D194" s="138"/>
    </row>
    <row r="195" spans="3:4" x14ac:dyDescent="0.2">
      <c r="C195" s="138"/>
      <c r="D195" s="138"/>
    </row>
    <row r="196" spans="3:4" x14ac:dyDescent="0.2">
      <c r="C196" s="138"/>
      <c r="D196" s="138"/>
    </row>
    <row r="197" spans="3:4" x14ac:dyDescent="0.2">
      <c r="C197" s="138"/>
      <c r="D197" s="138"/>
    </row>
    <row r="198" spans="3:4" x14ac:dyDescent="0.2">
      <c r="C198" s="138"/>
      <c r="D198" s="138"/>
    </row>
    <row r="199" spans="3:4" x14ac:dyDescent="0.2">
      <c r="C199" s="138"/>
      <c r="D199" s="138"/>
    </row>
    <row r="200" spans="3:4" x14ac:dyDescent="0.2">
      <c r="C200" s="138"/>
      <c r="D200" s="138"/>
    </row>
    <row r="201" spans="3:4" x14ac:dyDescent="0.2">
      <c r="C201" s="138"/>
      <c r="D201" s="138"/>
    </row>
    <row r="202" spans="3:4" x14ac:dyDescent="0.2">
      <c r="C202" s="138"/>
      <c r="D202" s="138"/>
    </row>
    <row r="203" spans="3:4" x14ac:dyDescent="0.2">
      <c r="C203" s="138"/>
      <c r="D203" s="138"/>
    </row>
    <row r="204" spans="3:4" x14ac:dyDescent="0.2">
      <c r="C204" s="138"/>
      <c r="D204" s="138"/>
    </row>
    <row r="205" spans="3:4" x14ac:dyDescent="0.2">
      <c r="C205" s="138"/>
      <c r="D205" s="138"/>
    </row>
    <row r="206" spans="3:4" x14ac:dyDescent="0.2">
      <c r="C206" s="138"/>
      <c r="D206" s="138"/>
    </row>
    <row r="207" spans="3:4" x14ac:dyDescent="0.2">
      <c r="C207" s="138"/>
      <c r="D207" s="138"/>
    </row>
    <row r="208" spans="3:4" x14ac:dyDescent="0.2">
      <c r="C208" s="138"/>
      <c r="D208" s="138"/>
    </row>
    <row r="209" spans="3:4" x14ac:dyDescent="0.2">
      <c r="C209" s="138"/>
      <c r="D209" s="138"/>
    </row>
    <row r="210" spans="3:4" x14ac:dyDescent="0.2">
      <c r="C210" s="138"/>
      <c r="D210" s="138"/>
    </row>
    <row r="211" spans="3:4" x14ac:dyDescent="0.2">
      <c r="C211" s="138"/>
      <c r="D211" s="138"/>
    </row>
    <row r="212" spans="3:4" x14ac:dyDescent="0.2">
      <c r="C212" s="138"/>
      <c r="D212" s="138"/>
    </row>
    <row r="213" spans="3:4" x14ac:dyDescent="0.2">
      <c r="C213" s="138"/>
      <c r="D213" s="138"/>
    </row>
    <row r="214" spans="3:4" x14ac:dyDescent="0.2">
      <c r="C214" s="138"/>
      <c r="D214" s="138"/>
    </row>
    <row r="215" spans="3:4" x14ac:dyDescent="0.2">
      <c r="C215" s="138"/>
      <c r="D215" s="138"/>
    </row>
    <row r="216" spans="3:4" x14ac:dyDescent="0.2">
      <c r="C216" s="138"/>
      <c r="D216" s="138"/>
    </row>
    <row r="217" spans="3:4" x14ac:dyDescent="0.2">
      <c r="C217" s="138"/>
      <c r="D217" s="138"/>
    </row>
    <row r="218" spans="3:4" x14ac:dyDescent="0.2">
      <c r="C218" s="138"/>
      <c r="D218" s="138"/>
    </row>
    <row r="219" spans="3:4" x14ac:dyDescent="0.2">
      <c r="C219" s="138"/>
      <c r="D219" s="138"/>
    </row>
    <row r="220" spans="3:4" x14ac:dyDescent="0.2">
      <c r="C220" s="138"/>
      <c r="D220" s="138"/>
    </row>
    <row r="221" spans="3:4" x14ac:dyDescent="0.2">
      <c r="C221" s="138"/>
      <c r="D221" s="138"/>
    </row>
    <row r="222" spans="3:4" x14ac:dyDescent="0.2">
      <c r="C222" s="138"/>
      <c r="D222" s="138"/>
    </row>
    <row r="223" spans="3:4" x14ac:dyDescent="0.2">
      <c r="C223" s="138"/>
      <c r="D223" s="138"/>
    </row>
    <row r="224" spans="3:4" x14ac:dyDescent="0.2">
      <c r="C224" s="138"/>
      <c r="D224" s="138"/>
    </row>
    <row r="225" spans="3:4" x14ac:dyDescent="0.2">
      <c r="C225" s="138"/>
      <c r="D225" s="138"/>
    </row>
    <row r="226" spans="3:4" x14ac:dyDescent="0.2">
      <c r="C226" s="138"/>
      <c r="D226" s="138"/>
    </row>
    <row r="227" spans="3:4" x14ac:dyDescent="0.2">
      <c r="C227" s="138"/>
      <c r="D227" s="138"/>
    </row>
    <row r="228" spans="3:4" x14ac:dyDescent="0.2">
      <c r="C228" s="138"/>
      <c r="D228" s="138"/>
    </row>
    <row r="229" spans="3:4" x14ac:dyDescent="0.2">
      <c r="C229" s="138"/>
      <c r="D229" s="138"/>
    </row>
    <row r="230" spans="3:4" x14ac:dyDescent="0.2">
      <c r="C230" s="138"/>
      <c r="D230" s="138"/>
    </row>
    <row r="231" spans="3:4" x14ac:dyDescent="0.2">
      <c r="C231" s="138"/>
      <c r="D231" s="138"/>
    </row>
    <row r="232" spans="3:4" x14ac:dyDescent="0.2">
      <c r="C232" s="138"/>
      <c r="D232" s="138"/>
    </row>
    <row r="233" spans="3:4" x14ac:dyDescent="0.2">
      <c r="C233" s="138"/>
      <c r="D233" s="138"/>
    </row>
    <row r="234" spans="3:4" x14ac:dyDescent="0.2">
      <c r="C234" s="138"/>
      <c r="D234" s="138"/>
    </row>
    <row r="235" spans="3:4" x14ac:dyDescent="0.2">
      <c r="C235" s="138"/>
      <c r="D235" s="138"/>
    </row>
    <row r="236" spans="3:4" x14ac:dyDescent="0.2">
      <c r="C236" s="138"/>
      <c r="D236" s="138"/>
    </row>
    <row r="237" spans="3:4" x14ac:dyDescent="0.2">
      <c r="C237" s="138"/>
      <c r="D237" s="138"/>
    </row>
    <row r="238" spans="3:4" x14ac:dyDescent="0.2">
      <c r="C238" s="138"/>
      <c r="D238" s="138"/>
    </row>
    <row r="239" spans="3:4" x14ac:dyDescent="0.2">
      <c r="C239" s="138"/>
      <c r="D239" s="138"/>
    </row>
    <row r="240" spans="3:4" x14ac:dyDescent="0.2">
      <c r="C240" s="138"/>
      <c r="D240" s="138"/>
    </row>
    <row r="241" spans="3:4" x14ac:dyDescent="0.2">
      <c r="C241" s="138"/>
      <c r="D241" s="138"/>
    </row>
    <row r="242" spans="3:4" x14ac:dyDescent="0.2">
      <c r="C242" s="138"/>
      <c r="D242" s="138"/>
    </row>
    <row r="243" spans="3:4" x14ac:dyDescent="0.2">
      <c r="C243" s="138"/>
      <c r="D243" s="138"/>
    </row>
    <row r="244" spans="3:4" x14ac:dyDescent="0.2">
      <c r="C244" s="138"/>
      <c r="D244" s="138"/>
    </row>
    <row r="245" spans="3:4" x14ac:dyDescent="0.2">
      <c r="C245" s="138"/>
      <c r="D245" s="138"/>
    </row>
    <row r="246" spans="3:4" x14ac:dyDescent="0.2">
      <c r="C246" s="138"/>
      <c r="D246" s="138"/>
    </row>
    <row r="247" spans="3:4" x14ac:dyDescent="0.2">
      <c r="C247" s="138"/>
      <c r="D247" s="138"/>
    </row>
    <row r="248" spans="3:4" x14ac:dyDescent="0.2">
      <c r="C248" s="138"/>
      <c r="D248" s="138"/>
    </row>
    <row r="249" spans="3:4" x14ac:dyDescent="0.2">
      <c r="C249" s="138"/>
      <c r="D249" s="138"/>
    </row>
    <row r="250" spans="3:4" x14ac:dyDescent="0.2">
      <c r="C250" s="138"/>
      <c r="D250" s="138"/>
    </row>
    <row r="251" spans="3:4" x14ac:dyDescent="0.2">
      <c r="C251" s="138"/>
      <c r="D251" s="138"/>
    </row>
    <row r="252" spans="3:4" x14ac:dyDescent="0.2">
      <c r="C252" s="138"/>
      <c r="D252" s="138"/>
    </row>
    <row r="253" spans="3:4" x14ac:dyDescent="0.2">
      <c r="C253" s="138"/>
      <c r="D253" s="138"/>
    </row>
    <row r="254" spans="3:4" x14ac:dyDescent="0.2">
      <c r="C254" s="138"/>
      <c r="D254" s="138"/>
    </row>
    <row r="255" spans="3:4" x14ac:dyDescent="0.2">
      <c r="C255" s="138"/>
      <c r="D255" s="138"/>
    </row>
    <row r="256" spans="3:4" x14ac:dyDescent="0.2">
      <c r="C256" s="138"/>
      <c r="D256" s="138"/>
    </row>
    <row r="257" spans="3:4" x14ac:dyDescent="0.2">
      <c r="C257" s="138"/>
      <c r="D257" s="138"/>
    </row>
    <row r="258" spans="3:4" x14ac:dyDescent="0.2">
      <c r="C258" s="138"/>
      <c r="D258" s="138"/>
    </row>
    <row r="259" spans="3:4" x14ac:dyDescent="0.2">
      <c r="C259" s="138"/>
      <c r="D259" s="138"/>
    </row>
    <row r="260" spans="3:4" x14ac:dyDescent="0.2">
      <c r="C260" s="138"/>
      <c r="D260" s="138"/>
    </row>
    <row r="261" spans="3:4" x14ac:dyDescent="0.2">
      <c r="C261" s="138"/>
      <c r="D261" s="138"/>
    </row>
    <row r="262" spans="3:4" x14ac:dyDescent="0.2">
      <c r="C262" s="138"/>
      <c r="D262" s="138"/>
    </row>
    <row r="263" spans="3:4" x14ac:dyDescent="0.2">
      <c r="C263" s="138"/>
      <c r="D263" s="138"/>
    </row>
    <row r="264" spans="3:4" x14ac:dyDescent="0.2">
      <c r="C264" s="138"/>
      <c r="D264" s="138"/>
    </row>
    <row r="265" spans="3:4" x14ac:dyDescent="0.2">
      <c r="C265" s="138"/>
      <c r="D265" s="138"/>
    </row>
    <row r="266" spans="3:4" x14ac:dyDescent="0.2">
      <c r="C266" s="138"/>
      <c r="D266" s="138"/>
    </row>
    <row r="267" spans="3:4" x14ac:dyDescent="0.2">
      <c r="C267" s="138"/>
      <c r="D267" s="138"/>
    </row>
    <row r="268" spans="3:4" x14ac:dyDescent="0.2">
      <c r="C268" s="138"/>
      <c r="D268" s="138"/>
    </row>
    <row r="269" spans="3:4" x14ac:dyDescent="0.2">
      <c r="C269" s="138"/>
      <c r="D269" s="138"/>
    </row>
    <row r="270" spans="3:4" x14ac:dyDescent="0.2">
      <c r="C270" s="138"/>
      <c r="D270" s="138"/>
    </row>
    <row r="271" spans="3:4" x14ac:dyDescent="0.2">
      <c r="C271" s="138"/>
      <c r="D271" s="138"/>
    </row>
    <row r="272" spans="3:4" x14ac:dyDescent="0.2">
      <c r="C272" s="138"/>
      <c r="D272" s="138"/>
    </row>
    <row r="273" spans="3:4" x14ac:dyDescent="0.2">
      <c r="C273" s="138"/>
      <c r="D273" s="138"/>
    </row>
    <row r="274" spans="3:4" x14ac:dyDescent="0.2">
      <c r="C274" s="138"/>
      <c r="D274" s="138"/>
    </row>
    <row r="275" spans="3:4" x14ac:dyDescent="0.2">
      <c r="C275" s="138"/>
      <c r="D275" s="138"/>
    </row>
    <row r="276" spans="3:4" x14ac:dyDescent="0.2">
      <c r="C276" s="138"/>
      <c r="D276" s="138"/>
    </row>
    <row r="277" spans="3:4" x14ac:dyDescent="0.2">
      <c r="C277" s="138"/>
      <c r="D277" s="138"/>
    </row>
    <row r="278" spans="3:4" x14ac:dyDescent="0.2">
      <c r="C278" s="138"/>
      <c r="D278" s="138"/>
    </row>
    <row r="279" spans="3:4" x14ac:dyDescent="0.2">
      <c r="C279" s="138"/>
      <c r="D279" s="138"/>
    </row>
    <row r="280" spans="3:4" x14ac:dyDescent="0.2">
      <c r="C280" s="138"/>
      <c r="D280" s="138"/>
    </row>
    <row r="281" spans="3:4" x14ac:dyDescent="0.2">
      <c r="C281" s="138"/>
      <c r="D281" s="138"/>
    </row>
    <row r="282" spans="3:4" x14ac:dyDescent="0.2">
      <c r="C282" s="138"/>
      <c r="D282" s="138"/>
    </row>
    <row r="283" spans="3:4" x14ac:dyDescent="0.2">
      <c r="C283" s="138"/>
      <c r="D283" s="138"/>
    </row>
    <row r="284" spans="3:4" x14ac:dyDescent="0.2">
      <c r="C284" s="138"/>
      <c r="D284" s="138"/>
    </row>
    <row r="285" spans="3:4" x14ac:dyDescent="0.2">
      <c r="C285" s="138"/>
      <c r="D285" s="138"/>
    </row>
    <row r="286" spans="3:4" x14ac:dyDescent="0.2">
      <c r="C286" s="138"/>
      <c r="D286" s="138"/>
    </row>
    <row r="287" spans="3:4" x14ac:dyDescent="0.2">
      <c r="C287" s="138"/>
      <c r="D287" s="138"/>
    </row>
    <row r="288" spans="3:4" x14ac:dyDescent="0.2">
      <c r="C288" s="138"/>
      <c r="D288" s="138"/>
    </row>
    <row r="289" spans="3:4" x14ac:dyDescent="0.2">
      <c r="C289" s="138"/>
      <c r="D289" s="138"/>
    </row>
    <row r="290" spans="3:4" x14ac:dyDescent="0.2">
      <c r="C290" s="138"/>
      <c r="D290" s="138"/>
    </row>
    <row r="291" spans="3:4" x14ac:dyDescent="0.2">
      <c r="C291" s="138"/>
      <c r="D291" s="138"/>
    </row>
    <row r="292" spans="3:4" x14ac:dyDescent="0.2">
      <c r="C292" s="138"/>
      <c r="D292" s="138"/>
    </row>
    <row r="293" spans="3:4" x14ac:dyDescent="0.2">
      <c r="C293" s="138"/>
      <c r="D293" s="138"/>
    </row>
    <row r="294" spans="3:4" x14ac:dyDescent="0.2">
      <c r="C294" s="138"/>
      <c r="D294" s="138"/>
    </row>
    <row r="295" spans="3:4" x14ac:dyDescent="0.2">
      <c r="C295" s="138"/>
      <c r="D295" s="138"/>
    </row>
    <row r="296" spans="3:4" x14ac:dyDescent="0.2">
      <c r="C296" s="138"/>
      <c r="D296" s="138"/>
    </row>
    <row r="297" spans="3:4" x14ac:dyDescent="0.2">
      <c r="C297" s="138"/>
      <c r="D297" s="138"/>
    </row>
    <row r="298" spans="3:4" x14ac:dyDescent="0.2">
      <c r="C298" s="138"/>
      <c r="D298" s="138"/>
    </row>
    <row r="299" spans="3:4" x14ac:dyDescent="0.2">
      <c r="C299" s="138"/>
      <c r="D299" s="138"/>
    </row>
    <row r="300" spans="3:4" x14ac:dyDescent="0.2">
      <c r="C300" s="138"/>
      <c r="D300" s="138"/>
    </row>
    <row r="301" spans="3:4" x14ac:dyDescent="0.2">
      <c r="C301" s="138"/>
      <c r="D301" s="138"/>
    </row>
    <row r="302" spans="3:4" x14ac:dyDescent="0.2">
      <c r="C302" s="138"/>
      <c r="D302" s="138"/>
    </row>
    <row r="303" spans="3:4" x14ac:dyDescent="0.2">
      <c r="C303" s="138"/>
      <c r="D303" s="138"/>
    </row>
    <row r="304" spans="3:4" x14ac:dyDescent="0.2">
      <c r="C304" s="138"/>
      <c r="D304" s="138"/>
    </row>
    <row r="305" spans="3:4" x14ac:dyDescent="0.2">
      <c r="C305" s="138"/>
      <c r="D305" s="138"/>
    </row>
    <row r="306" spans="3:4" x14ac:dyDescent="0.2">
      <c r="C306" s="138"/>
      <c r="D306" s="138"/>
    </row>
    <row r="307" spans="3:4" x14ac:dyDescent="0.2">
      <c r="C307" s="138"/>
      <c r="D307" s="138"/>
    </row>
    <row r="308" spans="3:4" x14ac:dyDescent="0.2">
      <c r="C308" s="138"/>
      <c r="D308" s="138"/>
    </row>
    <row r="309" spans="3:4" x14ac:dyDescent="0.2">
      <c r="C309" s="138"/>
      <c r="D309" s="138"/>
    </row>
    <row r="310" spans="3:4" x14ac:dyDescent="0.2">
      <c r="C310" s="138"/>
      <c r="D310" s="138"/>
    </row>
    <row r="311" spans="3:4" x14ac:dyDescent="0.2">
      <c r="C311" s="138"/>
      <c r="D311" s="138"/>
    </row>
    <row r="312" spans="3:4" x14ac:dyDescent="0.2">
      <c r="C312" s="138"/>
      <c r="D312" s="138"/>
    </row>
    <row r="313" spans="3:4" x14ac:dyDescent="0.2">
      <c r="C313" s="138"/>
      <c r="D313" s="138"/>
    </row>
    <row r="314" spans="3:4" x14ac:dyDescent="0.2">
      <c r="C314" s="138"/>
      <c r="D314" s="138"/>
    </row>
    <row r="315" spans="3:4" x14ac:dyDescent="0.2">
      <c r="C315" s="138"/>
      <c r="D315" s="138"/>
    </row>
    <row r="316" spans="3:4" x14ac:dyDescent="0.2">
      <c r="C316" s="138"/>
      <c r="D316" s="138"/>
    </row>
    <row r="317" spans="3:4" x14ac:dyDescent="0.2">
      <c r="C317" s="138"/>
      <c r="D317" s="138"/>
    </row>
    <row r="318" spans="3:4" x14ac:dyDescent="0.2">
      <c r="C318" s="138"/>
      <c r="D318" s="138"/>
    </row>
    <row r="319" spans="3:4" x14ac:dyDescent="0.2">
      <c r="C319" s="138"/>
      <c r="D319" s="138"/>
    </row>
    <row r="320" spans="3:4" x14ac:dyDescent="0.2">
      <c r="C320" s="138"/>
      <c r="D320" s="138"/>
    </row>
    <row r="321" spans="3:4" x14ac:dyDescent="0.2">
      <c r="C321" s="138"/>
      <c r="D321" s="138"/>
    </row>
    <row r="322" spans="3:4" x14ac:dyDescent="0.2">
      <c r="C322" s="138"/>
      <c r="D322" s="138"/>
    </row>
    <row r="323" spans="3:4" x14ac:dyDescent="0.2">
      <c r="C323" s="138"/>
      <c r="D323" s="138"/>
    </row>
    <row r="324" spans="3:4" x14ac:dyDescent="0.2">
      <c r="C324" s="138"/>
      <c r="D324" s="138"/>
    </row>
    <row r="325" spans="3:4" x14ac:dyDescent="0.2">
      <c r="C325" s="138"/>
      <c r="D325" s="138"/>
    </row>
    <row r="326" spans="3:4" x14ac:dyDescent="0.2">
      <c r="C326" s="138"/>
      <c r="D326" s="138"/>
    </row>
    <row r="327" spans="3:4" x14ac:dyDescent="0.2">
      <c r="C327" s="138"/>
      <c r="D327" s="138"/>
    </row>
    <row r="328" spans="3:4" x14ac:dyDescent="0.2">
      <c r="C328" s="138"/>
      <c r="D328" s="138"/>
    </row>
    <row r="329" spans="3:4" x14ac:dyDescent="0.2">
      <c r="C329" s="138"/>
      <c r="D329" s="138"/>
    </row>
    <row r="330" spans="3:4" x14ac:dyDescent="0.2">
      <c r="C330" s="138"/>
      <c r="D330" s="138"/>
    </row>
    <row r="331" spans="3:4" x14ac:dyDescent="0.2">
      <c r="C331" s="138"/>
      <c r="D331" s="138"/>
    </row>
    <row r="332" spans="3:4" x14ac:dyDescent="0.2">
      <c r="C332" s="138"/>
      <c r="D332" s="138"/>
    </row>
    <row r="333" spans="3:4" x14ac:dyDescent="0.2">
      <c r="C333" s="138"/>
      <c r="D333" s="138"/>
    </row>
    <row r="334" spans="3:4" x14ac:dyDescent="0.2">
      <c r="C334" s="138"/>
      <c r="D334" s="138"/>
    </row>
    <row r="335" spans="3:4" x14ac:dyDescent="0.2">
      <c r="C335" s="138"/>
      <c r="D335" s="138"/>
    </row>
    <row r="336" spans="3:4" x14ac:dyDescent="0.2">
      <c r="C336" s="138"/>
      <c r="D336" s="138"/>
    </row>
    <row r="337" spans="3:4" x14ac:dyDescent="0.2">
      <c r="C337" s="138"/>
      <c r="D337" s="138"/>
    </row>
    <row r="338" spans="3:4" x14ac:dyDescent="0.2">
      <c r="C338" s="138"/>
      <c r="D338" s="138"/>
    </row>
    <row r="339" spans="3:4" x14ac:dyDescent="0.2">
      <c r="C339" s="138"/>
      <c r="D339" s="138"/>
    </row>
    <row r="340" spans="3:4" x14ac:dyDescent="0.2">
      <c r="C340" s="138"/>
      <c r="D340" s="138"/>
    </row>
    <row r="341" spans="3:4" x14ac:dyDescent="0.2">
      <c r="C341" s="138"/>
      <c r="D341" s="138"/>
    </row>
    <row r="342" spans="3:4" x14ac:dyDescent="0.2">
      <c r="C342" s="138"/>
      <c r="D342" s="138"/>
    </row>
    <row r="343" spans="3:4" x14ac:dyDescent="0.2">
      <c r="C343" s="138"/>
      <c r="D343" s="138"/>
    </row>
    <row r="344" spans="3:4" x14ac:dyDescent="0.2">
      <c r="C344" s="138"/>
      <c r="D344" s="138"/>
    </row>
    <row r="345" spans="3:4" x14ac:dyDescent="0.2">
      <c r="C345" s="138"/>
      <c r="D345" s="138"/>
    </row>
    <row r="346" spans="3:4" x14ac:dyDescent="0.2">
      <c r="C346" s="138"/>
      <c r="D346" s="138"/>
    </row>
    <row r="347" spans="3:4" x14ac:dyDescent="0.2">
      <c r="C347" s="138"/>
      <c r="D347" s="138"/>
    </row>
    <row r="348" spans="3:4" x14ac:dyDescent="0.2">
      <c r="C348" s="138"/>
      <c r="D348" s="138"/>
    </row>
    <row r="349" spans="3:4" x14ac:dyDescent="0.2">
      <c r="C349" s="138"/>
      <c r="D349" s="138"/>
    </row>
    <row r="350" spans="3:4" x14ac:dyDescent="0.2">
      <c r="C350" s="138"/>
      <c r="D350" s="138"/>
    </row>
    <row r="351" spans="3:4" x14ac:dyDescent="0.2">
      <c r="C351" s="138"/>
      <c r="D351" s="138"/>
    </row>
    <row r="352" spans="3:4" x14ac:dyDescent="0.2">
      <c r="C352" s="138"/>
      <c r="D352" s="138"/>
    </row>
    <row r="353" spans="3:4" x14ac:dyDescent="0.2">
      <c r="C353" s="138"/>
      <c r="D353" s="138"/>
    </row>
    <row r="354" spans="3:4" x14ac:dyDescent="0.2">
      <c r="C354" s="138"/>
      <c r="D354" s="138"/>
    </row>
    <row r="355" spans="3:4" x14ac:dyDescent="0.2">
      <c r="C355" s="138"/>
      <c r="D355" s="138"/>
    </row>
    <row r="356" spans="3:4" x14ac:dyDescent="0.2">
      <c r="C356" s="138"/>
      <c r="D356" s="138"/>
    </row>
    <row r="357" spans="3:4" x14ac:dyDescent="0.2">
      <c r="C357" s="138"/>
      <c r="D357" s="138"/>
    </row>
    <row r="358" spans="3:4" x14ac:dyDescent="0.2">
      <c r="C358" s="138"/>
      <c r="D358" s="138"/>
    </row>
    <row r="359" spans="3:4" x14ac:dyDescent="0.2">
      <c r="C359" s="138"/>
      <c r="D359" s="138"/>
    </row>
    <row r="360" spans="3:4" x14ac:dyDescent="0.2">
      <c r="C360" s="138"/>
      <c r="D360" s="138"/>
    </row>
    <row r="361" spans="3:4" x14ac:dyDescent="0.2">
      <c r="C361" s="138"/>
      <c r="D361" s="138"/>
    </row>
    <row r="362" spans="3:4" x14ac:dyDescent="0.2">
      <c r="C362" s="138"/>
      <c r="D362" s="138"/>
    </row>
    <row r="363" spans="3:4" x14ac:dyDescent="0.2">
      <c r="C363" s="138"/>
      <c r="D363" s="138"/>
    </row>
    <row r="364" spans="3:4" x14ac:dyDescent="0.2">
      <c r="C364" s="138"/>
      <c r="D364" s="138"/>
    </row>
    <row r="365" spans="3:4" x14ac:dyDescent="0.2">
      <c r="C365" s="138"/>
      <c r="D365" s="138"/>
    </row>
    <row r="366" spans="3:4" x14ac:dyDescent="0.2">
      <c r="C366" s="138"/>
      <c r="D366" s="138"/>
    </row>
    <row r="367" spans="3:4" x14ac:dyDescent="0.2">
      <c r="C367" s="138"/>
      <c r="D367" s="138"/>
    </row>
    <row r="368" spans="3:4" x14ac:dyDescent="0.2">
      <c r="C368" s="138"/>
      <c r="D368" s="138"/>
    </row>
    <row r="369" spans="3:4" x14ac:dyDescent="0.2">
      <c r="C369" s="138"/>
      <c r="D369" s="138"/>
    </row>
    <row r="370" spans="3:4" x14ac:dyDescent="0.2">
      <c r="C370" s="138"/>
      <c r="D370" s="138"/>
    </row>
    <row r="371" spans="3:4" x14ac:dyDescent="0.2">
      <c r="C371" s="138"/>
      <c r="D371" s="138"/>
    </row>
    <row r="372" spans="3:4" x14ac:dyDescent="0.2">
      <c r="C372" s="138"/>
      <c r="D372" s="138"/>
    </row>
    <row r="373" spans="3:4" x14ac:dyDescent="0.2">
      <c r="C373" s="138"/>
      <c r="D373" s="138"/>
    </row>
    <row r="374" spans="3:4" x14ac:dyDescent="0.2">
      <c r="C374" s="138"/>
      <c r="D374" s="138"/>
    </row>
    <row r="375" spans="3:4" x14ac:dyDescent="0.2">
      <c r="C375" s="138"/>
      <c r="D375" s="138"/>
    </row>
    <row r="376" spans="3:4" x14ac:dyDescent="0.2">
      <c r="C376" s="138"/>
      <c r="D376" s="138"/>
    </row>
    <row r="377" spans="3:4" x14ac:dyDescent="0.2">
      <c r="C377" s="138"/>
      <c r="D377" s="138"/>
    </row>
    <row r="378" spans="3:4" x14ac:dyDescent="0.2">
      <c r="C378" s="138"/>
      <c r="D378" s="138"/>
    </row>
    <row r="379" spans="3:4" x14ac:dyDescent="0.2">
      <c r="C379" s="138"/>
      <c r="D379" s="138"/>
    </row>
    <row r="380" spans="3:4" x14ac:dyDescent="0.2">
      <c r="C380" s="138"/>
      <c r="D380" s="138"/>
    </row>
    <row r="381" spans="3:4" x14ac:dyDescent="0.2">
      <c r="C381" s="138"/>
      <c r="D381" s="138"/>
    </row>
    <row r="382" spans="3:4" x14ac:dyDescent="0.2">
      <c r="C382" s="138"/>
      <c r="D382" s="138"/>
    </row>
    <row r="383" spans="3:4" x14ac:dyDescent="0.2">
      <c r="C383" s="138"/>
      <c r="D383" s="138"/>
    </row>
    <row r="384" spans="3:4" x14ac:dyDescent="0.2">
      <c r="C384" s="138"/>
      <c r="D384" s="138"/>
    </row>
    <row r="385" spans="3:4" x14ac:dyDescent="0.2">
      <c r="C385" s="138"/>
      <c r="D385" s="138"/>
    </row>
    <row r="386" spans="3:4" x14ac:dyDescent="0.2">
      <c r="C386" s="138"/>
      <c r="D386" s="138"/>
    </row>
    <row r="387" spans="3:4" x14ac:dyDescent="0.2">
      <c r="C387" s="138"/>
      <c r="D387" s="138"/>
    </row>
    <row r="388" spans="3:4" x14ac:dyDescent="0.2">
      <c r="C388" s="138"/>
      <c r="D388" s="138"/>
    </row>
    <row r="389" spans="3:4" x14ac:dyDescent="0.2">
      <c r="C389" s="138"/>
      <c r="D389" s="138"/>
    </row>
    <row r="390" spans="3:4" x14ac:dyDescent="0.2">
      <c r="C390" s="138"/>
      <c r="D390" s="138"/>
    </row>
    <row r="391" spans="3:4" x14ac:dyDescent="0.2">
      <c r="C391" s="138"/>
      <c r="D391" s="138"/>
    </row>
    <row r="392" spans="3:4" x14ac:dyDescent="0.2">
      <c r="C392" s="138"/>
      <c r="D392" s="138"/>
    </row>
    <row r="393" spans="3:4" x14ac:dyDescent="0.2">
      <c r="C393" s="138"/>
      <c r="D393" s="138"/>
    </row>
    <row r="394" spans="3:4" x14ac:dyDescent="0.2">
      <c r="C394" s="138"/>
      <c r="D394" s="138"/>
    </row>
    <row r="395" spans="3:4" x14ac:dyDescent="0.2">
      <c r="C395" s="138"/>
      <c r="D395" s="138"/>
    </row>
    <row r="396" spans="3:4" x14ac:dyDescent="0.2">
      <c r="C396" s="138"/>
      <c r="D396" s="138"/>
    </row>
    <row r="397" spans="3:4" x14ac:dyDescent="0.2">
      <c r="C397" s="138"/>
      <c r="D397" s="138"/>
    </row>
    <row r="398" spans="3:4" x14ac:dyDescent="0.2">
      <c r="C398" s="138"/>
      <c r="D398" s="138"/>
    </row>
    <row r="399" spans="3:4" x14ac:dyDescent="0.2">
      <c r="C399" s="138"/>
      <c r="D399" s="138"/>
    </row>
    <row r="400" spans="3:4" x14ac:dyDescent="0.2">
      <c r="C400" s="138"/>
      <c r="D400" s="138"/>
    </row>
    <row r="401" spans="3:4" x14ac:dyDescent="0.2">
      <c r="C401" s="138"/>
      <c r="D401" s="138"/>
    </row>
    <row r="402" spans="3:4" x14ac:dyDescent="0.2">
      <c r="C402" s="138"/>
      <c r="D402" s="138"/>
    </row>
    <row r="403" spans="3:4" x14ac:dyDescent="0.2">
      <c r="C403" s="138"/>
      <c r="D403" s="138"/>
    </row>
    <row r="404" spans="3:4" x14ac:dyDescent="0.2">
      <c r="C404" s="138"/>
      <c r="D404" s="138"/>
    </row>
    <row r="405" spans="3:4" x14ac:dyDescent="0.2">
      <c r="C405" s="138"/>
      <c r="D405" s="138"/>
    </row>
    <row r="406" spans="3:4" x14ac:dyDescent="0.2">
      <c r="C406" s="138"/>
      <c r="D406" s="138"/>
    </row>
    <row r="407" spans="3:4" x14ac:dyDescent="0.2">
      <c r="C407" s="138"/>
      <c r="D407" s="138"/>
    </row>
    <row r="408" spans="3:4" x14ac:dyDescent="0.2">
      <c r="C408" s="138"/>
      <c r="D408" s="138"/>
    </row>
    <row r="409" spans="3:4" x14ac:dyDescent="0.2">
      <c r="C409" s="138"/>
      <c r="D409" s="138"/>
    </row>
    <row r="410" spans="3:4" x14ac:dyDescent="0.2">
      <c r="C410" s="138"/>
      <c r="D410" s="138"/>
    </row>
    <row r="411" spans="3:4" x14ac:dyDescent="0.2">
      <c r="C411" s="138"/>
      <c r="D411" s="138"/>
    </row>
    <row r="412" spans="3:4" x14ac:dyDescent="0.2">
      <c r="C412" s="138"/>
      <c r="D412" s="138"/>
    </row>
    <row r="413" spans="3:4" x14ac:dyDescent="0.2">
      <c r="C413" s="138"/>
      <c r="D413" s="138"/>
    </row>
    <row r="414" spans="3:4" x14ac:dyDescent="0.2">
      <c r="C414" s="138"/>
      <c r="D414" s="138"/>
    </row>
    <row r="415" spans="3:4" x14ac:dyDescent="0.2">
      <c r="C415" s="138"/>
      <c r="D415" s="138"/>
    </row>
    <row r="416" spans="3:4" x14ac:dyDescent="0.2">
      <c r="C416" s="138"/>
      <c r="D416" s="138"/>
    </row>
    <row r="417" spans="3:4" x14ac:dyDescent="0.2">
      <c r="C417" s="138"/>
      <c r="D417" s="138"/>
    </row>
    <row r="418" spans="3:4" x14ac:dyDescent="0.2">
      <c r="C418" s="138"/>
      <c r="D418" s="138"/>
    </row>
    <row r="419" spans="3:4" x14ac:dyDescent="0.2">
      <c r="C419" s="138"/>
      <c r="D419" s="138"/>
    </row>
    <row r="420" spans="3:4" x14ac:dyDescent="0.2">
      <c r="C420" s="138"/>
      <c r="D420" s="138"/>
    </row>
    <row r="421" spans="3:4" x14ac:dyDescent="0.2">
      <c r="C421" s="138"/>
      <c r="D421" s="138"/>
    </row>
    <row r="422" spans="3:4" x14ac:dyDescent="0.2">
      <c r="C422" s="138"/>
      <c r="D422" s="138"/>
    </row>
    <row r="423" spans="3:4" x14ac:dyDescent="0.2">
      <c r="C423" s="138"/>
      <c r="D423" s="138"/>
    </row>
    <row r="424" spans="3:4" x14ac:dyDescent="0.2">
      <c r="C424" s="138"/>
      <c r="D424" s="138"/>
    </row>
    <row r="425" spans="3:4" x14ac:dyDescent="0.2">
      <c r="C425" s="138"/>
      <c r="D425" s="138"/>
    </row>
    <row r="426" spans="3:4" x14ac:dyDescent="0.2">
      <c r="C426" s="138"/>
      <c r="D426" s="138"/>
    </row>
    <row r="427" spans="3:4" x14ac:dyDescent="0.2">
      <c r="C427" s="138"/>
      <c r="D427" s="138"/>
    </row>
    <row r="428" spans="3:4" x14ac:dyDescent="0.2">
      <c r="C428" s="138"/>
      <c r="D428" s="138"/>
    </row>
    <row r="429" spans="3:4" x14ac:dyDescent="0.2">
      <c r="C429" s="138"/>
      <c r="D429" s="138"/>
    </row>
    <row r="430" spans="3:4" x14ac:dyDescent="0.2">
      <c r="C430" s="138"/>
      <c r="D430" s="138"/>
    </row>
    <row r="431" spans="3:4" x14ac:dyDescent="0.2">
      <c r="C431" s="138"/>
      <c r="D431" s="138"/>
    </row>
    <row r="432" spans="3:4" x14ac:dyDescent="0.2">
      <c r="C432" s="138"/>
      <c r="D432" s="138"/>
    </row>
    <row r="433" spans="3:4" x14ac:dyDescent="0.2">
      <c r="C433" s="138"/>
      <c r="D433" s="138"/>
    </row>
    <row r="434" spans="3:4" x14ac:dyDescent="0.2">
      <c r="C434" s="138"/>
      <c r="D434" s="138"/>
    </row>
    <row r="435" spans="3:4" x14ac:dyDescent="0.2">
      <c r="C435" s="138"/>
      <c r="D435" s="138"/>
    </row>
    <row r="436" spans="3:4" x14ac:dyDescent="0.2">
      <c r="C436" s="138"/>
      <c r="D436" s="138"/>
    </row>
    <row r="437" spans="3:4" x14ac:dyDescent="0.2">
      <c r="C437" s="138"/>
      <c r="D437" s="138"/>
    </row>
    <row r="438" spans="3:4" x14ac:dyDescent="0.2">
      <c r="C438" s="138"/>
      <c r="D438" s="138"/>
    </row>
    <row r="439" spans="3:4" x14ac:dyDescent="0.2">
      <c r="C439" s="138"/>
      <c r="D439" s="138"/>
    </row>
    <row r="440" spans="3:4" x14ac:dyDescent="0.2">
      <c r="C440" s="138"/>
      <c r="D440" s="138"/>
    </row>
    <row r="441" spans="3:4" x14ac:dyDescent="0.2">
      <c r="C441" s="138"/>
      <c r="D441" s="138"/>
    </row>
    <row r="442" spans="3:4" x14ac:dyDescent="0.2">
      <c r="C442" s="138"/>
      <c r="D442" s="138"/>
    </row>
    <row r="443" spans="3:4" x14ac:dyDescent="0.2">
      <c r="C443" s="138"/>
      <c r="D443" s="138"/>
    </row>
    <row r="444" spans="3:4" x14ac:dyDescent="0.2">
      <c r="C444" s="138"/>
      <c r="D444" s="138"/>
    </row>
    <row r="445" spans="3:4" x14ac:dyDescent="0.2">
      <c r="C445" s="138"/>
      <c r="D445" s="138"/>
    </row>
    <row r="446" spans="3:4" x14ac:dyDescent="0.2">
      <c r="C446" s="138"/>
      <c r="D446" s="138"/>
    </row>
    <row r="447" spans="3:4" x14ac:dyDescent="0.2">
      <c r="C447" s="138"/>
      <c r="D447" s="138"/>
    </row>
    <row r="448" spans="3:4" x14ac:dyDescent="0.2">
      <c r="C448" s="138"/>
      <c r="D448" s="138"/>
    </row>
    <row r="449" spans="3:4" x14ac:dyDescent="0.2">
      <c r="C449" s="138"/>
      <c r="D449" s="138"/>
    </row>
    <row r="450" spans="3:4" x14ac:dyDescent="0.2">
      <c r="C450" s="138"/>
      <c r="D450" s="138"/>
    </row>
    <row r="451" spans="3:4" x14ac:dyDescent="0.2">
      <c r="C451" s="138"/>
      <c r="D451" s="138"/>
    </row>
    <row r="452" spans="3:4" x14ac:dyDescent="0.2">
      <c r="C452" s="138"/>
      <c r="D452" s="138"/>
    </row>
    <row r="453" spans="3:4" x14ac:dyDescent="0.2">
      <c r="C453" s="138"/>
      <c r="D453" s="138"/>
    </row>
    <row r="454" spans="3:4" x14ac:dyDescent="0.2">
      <c r="C454" s="138"/>
      <c r="D454" s="138"/>
    </row>
    <row r="455" spans="3:4" x14ac:dyDescent="0.2">
      <c r="C455" s="138"/>
      <c r="D455" s="138"/>
    </row>
    <row r="456" spans="3:4" x14ac:dyDescent="0.2">
      <c r="C456" s="138"/>
      <c r="D456" s="138"/>
    </row>
    <row r="457" spans="3:4" x14ac:dyDescent="0.2">
      <c r="C457" s="138"/>
      <c r="D457" s="138"/>
    </row>
    <row r="458" spans="3:4" x14ac:dyDescent="0.2">
      <c r="C458" s="138"/>
      <c r="D458" s="138"/>
    </row>
    <row r="459" spans="3:4" x14ac:dyDescent="0.2">
      <c r="C459" s="138"/>
      <c r="D459" s="138"/>
    </row>
    <row r="460" spans="3:4" x14ac:dyDescent="0.2">
      <c r="C460" s="138"/>
      <c r="D460" s="138"/>
    </row>
    <row r="461" spans="3:4" x14ac:dyDescent="0.2">
      <c r="C461" s="138"/>
      <c r="D461" s="138"/>
    </row>
    <row r="462" spans="3:4" x14ac:dyDescent="0.2">
      <c r="C462" s="138"/>
      <c r="D462" s="138"/>
    </row>
    <row r="463" spans="3:4" x14ac:dyDescent="0.2">
      <c r="C463" s="138"/>
      <c r="D463" s="138"/>
    </row>
    <row r="464" spans="3:4" x14ac:dyDescent="0.2">
      <c r="C464" s="138"/>
      <c r="D464" s="138"/>
    </row>
    <row r="465" spans="3:4" x14ac:dyDescent="0.2">
      <c r="C465" s="138"/>
      <c r="D465" s="138"/>
    </row>
    <row r="466" spans="3:4" x14ac:dyDescent="0.2">
      <c r="C466" s="138"/>
      <c r="D466" s="138"/>
    </row>
    <row r="467" spans="3:4" x14ac:dyDescent="0.2">
      <c r="C467" s="138"/>
      <c r="D467" s="138"/>
    </row>
    <row r="468" spans="3:4" x14ac:dyDescent="0.2">
      <c r="C468" s="138"/>
      <c r="D468" s="138"/>
    </row>
    <row r="469" spans="3:4" x14ac:dyDescent="0.2">
      <c r="C469" s="138"/>
      <c r="D469" s="138"/>
    </row>
    <row r="470" spans="3:4" x14ac:dyDescent="0.2">
      <c r="C470" s="138"/>
      <c r="D470" s="138"/>
    </row>
    <row r="471" spans="3:4" x14ac:dyDescent="0.2">
      <c r="C471" s="138"/>
      <c r="D471" s="138"/>
    </row>
    <row r="472" spans="3:4" x14ac:dyDescent="0.2">
      <c r="C472" s="138"/>
      <c r="D472" s="138"/>
    </row>
    <row r="473" spans="3:4" x14ac:dyDescent="0.2">
      <c r="C473" s="138"/>
      <c r="D473" s="138"/>
    </row>
    <row r="474" spans="3:4" x14ac:dyDescent="0.2">
      <c r="C474" s="138"/>
      <c r="D474" s="138"/>
    </row>
    <row r="475" spans="3:4" x14ac:dyDescent="0.2">
      <c r="C475" s="138"/>
      <c r="D475" s="138"/>
    </row>
    <row r="476" spans="3:4" x14ac:dyDescent="0.2">
      <c r="C476" s="138"/>
      <c r="D476" s="138"/>
    </row>
    <row r="477" spans="3:4" x14ac:dyDescent="0.2">
      <c r="C477" s="138"/>
      <c r="D477" s="138"/>
    </row>
    <row r="478" spans="3:4" x14ac:dyDescent="0.2">
      <c r="C478" s="138"/>
      <c r="D478" s="138"/>
    </row>
    <row r="479" spans="3:4" x14ac:dyDescent="0.2">
      <c r="C479" s="138"/>
      <c r="D479" s="138"/>
    </row>
    <row r="480" spans="3:4" x14ac:dyDescent="0.2">
      <c r="C480" s="138"/>
      <c r="D480" s="138"/>
    </row>
    <row r="481" spans="3:4" x14ac:dyDescent="0.2">
      <c r="C481" s="138"/>
      <c r="D481" s="138"/>
    </row>
    <row r="482" spans="3:4" x14ac:dyDescent="0.2">
      <c r="C482" s="138"/>
      <c r="D482" s="138"/>
    </row>
    <row r="483" spans="3:4" x14ac:dyDescent="0.2">
      <c r="C483" s="138"/>
      <c r="D483" s="138"/>
    </row>
    <row r="484" spans="3:4" x14ac:dyDescent="0.2">
      <c r="C484" s="138"/>
      <c r="D484" s="138"/>
    </row>
    <row r="485" spans="3:4" x14ac:dyDescent="0.2">
      <c r="C485" s="138"/>
      <c r="D485" s="138"/>
    </row>
    <row r="486" spans="3:4" x14ac:dyDescent="0.2">
      <c r="C486" s="138"/>
      <c r="D486" s="138"/>
    </row>
    <row r="487" spans="3:4" x14ac:dyDescent="0.2">
      <c r="C487" s="138"/>
      <c r="D487" s="138"/>
    </row>
    <row r="488" spans="3:4" x14ac:dyDescent="0.2">
      <c r="C488" s="138"/>
      <c r="D488" s="138"/>
    </row>
    <row r="489" spans="3:4" x14ac:dyDescent="0.2">
      <c r="C489" s="138"/>
      <c r="D489" s="138"/>
    </row>
    <row r="490" spans="3:4" x14ac:dyDescent="0.2">
      <c r="C490" s="138"/>
      <c r="D490" s="138"/>
    </row>
    <row r="491" spans="3:4" x14ac:dyDescent="0.2">
      <c r="C491" s="138"/>
      <c r="D491" s="138"/>
    </row>
    <row r="492" spans="3:4" x14ac:dyDescent="0.2">
      <c r="C492" s="138"/>
      <c r="D492" s="138"/>
    </row>
    <row r="493" spans="3:4" x14ac:dyDescent="0.2">
      <c r="C493" s="138"/>
      <c r="D493" s="138"/>
    </row>
    <row r="494" spans="3:4" x14ac:dyDescent="0.2">
      <c r="C494" s="138"/>
      <c r="D494" s="138"/>
    </row>
    <row r="495" spans="3:4" x14ac:dyDescent="0.2">
      <c r="C495" s="138"/>
      <c r="D495" s="138"/>
    </row>
    <row r="496" spans="3:4" x14ac:dyDescent="0.2">
      <c r="C496" s="138"/>
      <c r="D496" s="138"/>
    </row>
    <row r="497" spans="3:4" x14ac:dyDescent="0.2">
      <c r="C497" s="138"/>
      <c r="D497" s="138"/>
    </row>
    <row r="498" spans="3:4" x14ac:dyDescent="0.2">
      <c r="C498" s="138"/>
      <c r="D498" s="138"/>
    </row>
    <row r="499" spans="3:4" x14ac:dyDescent="0.2">
      <c r="C499" s="138"/>
      <c r="D499" s="138"/>
    </row>
    <row r="500" spans="3:4" x14ac:dyDescent="0.2">
      <c r="C500" s="138"/>
      <c r="D500" s="138"/>
    </row>
    <row r="501" spans="3:4" x14ac:dyDescent="0.2">
      <c r="C501" s="138"/>
      <c r="D501" s="138"/>
    </row>
    <row r="502" spans="3:4" x14ac:dyDescent="0.2">
      <c r="C502" s="138"/>
      <c r="D502" s="138"/>
    </row>
    <row r="503" spans="3:4" x14ac:dyDescent="0.2">
      <c r="C503" s="138"/>
      <c r="D503" s="138"/>
    </row>
    <row r="504" spans="3:4" x14ac:dyDescent="0.2">
      <c r="C504" s="138"/>
      <c r="D504" s="138"/>
    </row>
    <row r="505" spans="3:4" x14ac:dyDescent="0.2">
      <c r="C505" s="138"/>
      <c r="D505" s="138"/>
    </row>
    <row r="506" spans="3:4" x14ac:dyDescent="0.2">
      <c r="C506" s="138"/>
      <c r="D506" s="138"/>
    </row>
    <row r="507" spans="3:4" x14ac:dyDescent="0.2">
      <c r="C507" s="138"/>
      <c r="D507" s="138"/>
    </row>
    <row r="508" spans="3:4" x14ac:dyDescent="0.2">
      <c r="C508" s="138"/>
      <c r="D508" s="138"/>
    </row>
    <row r="509" spans="3:4" x14ac:dyDescent="0.2">
      <c r="C509" s="138"/>
      <c r="D509" s="138"/>
    </row>
    <row r="510" spans="3:4" x14ac:dyDescent="0.2">
      <c r="C510" s="138"/>
      <c r="D510" s="138"/>
    </row>
    <row r="511" spans="3:4" x14ac:dyDescent="0.2">
      <c r="C511" s="138"/>
      <c r="D511" s="138"/>
    </row>
    <row r="512" spans="3:4" x14ac:dyDescent="0.2">
      <c r="C512" s="138"/>
      <c r="D512" s="138"/>
    </row>
    <row r="513" spans="3:4" x14ac:dyDescent="0.2">
      <c r="C513" s="138"/>
      <c r="D513" s="138"/>
    </row>
    <row r="514" spans="3:4" x14ac:dyDescent="0.2">
      <c r="C514" s="138"/>
      <c r="D514" s="138"/>
    </row>
    <row r="515" spans="3:4" x14ac:dyDescent="0.2">
      <c r="C515" s="138"/>
      <c r="D515" s="138"/>
    </row>
    <row r="516" spans="3:4" x14ac:dyDescent="0.2">
      <c r="C516" s="138"/>
      <c r="D516" s="138"/>
    </row>
    <row r="517" spans="3:4" x14ac:dyDescent="0.2">
      <c r="C517" s="138"/>
      <c r="D517" s="138"/>
    </row>
    <row r="518" spans="3:4" x14ac:dyDescent="0.2">
      <c r="C518" s="138"/>
      <c r="D518" s="138"/>
    </row>
    <row r="519" spans="3:4" x14ac:dyDescent="0.2">
      <c r="C519" s="138"/>
      <c r="D519" s="138"/>
    </row>
    <row r="520" spans="3:4" x14ac:dyDescent="0.2">
      <c r="C520" s="138"/>
      <c r="D520" s="138"/>
    </row>
    <row r="521" spans="3:4" x14ac:dyDescent="0.2">
      <c r="C521" s="138"/>
      <c r="D521" s="138"/>
    </row>
    <row r="522" spans="3:4" x14ac:dyDescent="0.2">
      <c r="C522" s="138"/>
      <c r="D522" s="138"/>
    </row>
    <row r="523" spans="3:4" x14ac:dyDescent="0.2">
      <c r="C523" s="138"/>
      <c r="D523" s="138"/>
    </row>
    <row r="524" spans="3:4" x14ac:dyDescent="0.2">
      <c r="C524" s="138"/>
      <c r="D524" s="138"/>
    </row>
    <row r="525" spans="3:4" x14ac:dyDescent="0.2">
      <c r="C525" s="138"/>
      <c r="D525" s="138"/>
    </row>
    <row r="526" spans="3:4" x14ac:dyDescent="0.2">
      <c r="C526" s="138"/>
      <c r="D526" s="138"/>
    </row>
    <row r="527" spans="3:4" x14ac:dyDescent="0.2">
      <c r="C527" s="138"/>
      <c r="D527" s="138"/>
    </row>
    <row r="528" spans="3:4" x14ac:dyDescent="0.2">
      <c r="C528" s="138"/>
      <c r="D528" s="138"/>
    </row>
    <row r="529" spans="3:4" x14ac:dyDescent="0.2">
      <c r="C529" s="138"/>
      <c r="D529" s="138"/>
    </row>
    <row r="530" spans="3:4" x14ac:dyDescent="0.2">
      <c r="C530" s="138"/>
      <c r="D530" s="138"/>
    </row>
    <row r="531" spans="3:4" x14ac:dyDescent="0.2">
      <c r="C531" s="138"/>
      <c r="D531" s="138"/>
    </row>
    <row r="532" spans="3:4" x14ac:dyDescent="0.2">
      <c r="C532" s="138"/>
      <c r="D532" s="138"/>
    </row>
    <row r="533" spans="3:4" x14ac:dyDescent="0.2">
      <c r="C533" s="138"/>
      <c r="D533" s="138"/>
    </row>
    <row r="534" spans="3:4" x14ac:dyDescent="0.2">
      <c r="C534" s="138"/>
      <c r="D534" s="138"/>
    </row>
    <row r="535" spans="3:4" x14ac:dyDescent="0.2">
      <c r="C535" s="138"/>
      <c r="D535" s="138"/>
    </row>
    <row r="536" spans="3:4" x14ac:dyDescent="0.2">
      <c r="C536" s="138"/>
      <c r="D536" s="138"/>
    </row>
    <row r="537" spans="3:4" x14ac:dyDescent="0.2">
      <c r="C537" s="138"/>
      <c r="D537" s="138"/>
    </row>
    <row r="538" spans="3:4" x14ac:dyDescent="0.2">
      <c r="C538" s="138"/>
      <c r="D538" s="138"/>
    </row>
    <row r="539" spans="3:4" x14ac:dyDescent="0.2">
      <c r="C539" s="138"/>
      <c r="D539" s="138"/>
    </row>
    <row r="540" spans="3:4" x14ac:dyDescent="0.2">
      <c r="C540" s="138"/>
      <c r="D540" s="138"/>
    </row>
    <row r="541" spans="3:4" x14ac:dyDescent="0.2">
      <c r="C541" s="138"/>
      <c r="D541" s="138"/>
    </row>
    <row r="542" spans="3:4" x14ac:dyDescent="0.2">
      <c r="C542" s="138"/>
      <c r="D542" s="138"/>
    </row>
    <row r="543" spans="3:4" x14ac:dyDescent="0.2">
      <c r="C543" s="138"/>
      <c r="D543" s="138"/>
    </row>
    <row r="544" spans="3:4" x14ac:dyDescent="0.2">
      <c r="C544" s="138"/>
      <c r="D544" s="138"/>
    </row>
    <row r="545" spans="3:4" x14ac:dyDescent="0.2">
      <c r="C545" s="138"/>
      <c r="D545" s="138"/>
    </row>
    <row r="546" spans="3:4" x14ac:dyDescent="0.2">
      <c r="C546" s="138"/>
      <c r="D546" s="138"/>
    </row>
    <row r="547" spans="3:4" x14ac:dyDescent="0.2">
      <c r="C547" s="138"/>
      <c r="D547" s="138"/>
    </row>
    <row r="548" spans="3:4" x14ac:dyDescent="0.2">
      <c r="C548" s="138"/>
      <c r="D548" s="138"/>
    </row>
    <row r="549" spans="3:4" x14ac:dyDescent="0.2">
      <c r="C549" s="138"/>
      <c r="D549" s="138"/>
    </row>
    <row r="550" spans="3:4" x14ac:dyDescent="0.2">
      <c r="C550" s="138"/>
      <c r="D550" s="138"/>
    </row>
    <row r="551" spans="3:4" x14ac:dyDescent="0.2">
      <c r="C551" s="138"/>
      <c r="D551" s="138"/>
    </row>
    <row r="552" spans="3:4" x14ac:dyDescent="0.2">
      <c r="C552" s="138"/>
      <c r="D552" s="138"/>
    </row>
    <row r="553" spans="3:4" x14ac:dyDescent="0.2">
      <c r="C553" s="138"/>
      <c r="D553" s="138"/>
    </row>
    <row r="554" spans="3:4" x14ac:dyDescent="0.2">
      <c r="C554" s="138"/>
      <c r="D554" s="138"/>
    </row>
    <row r="555" spans="3:4" x14ac:dyDescent="0.2">
      <c r="C555" s="138"/>
      <c r="D555" s="138"/>
    </row>
    <row r="556" spans="3:4" x14ac:dyDescent="0.2">
      <c r="C556" s="138"/>
      <c r="D556" s="138"/>
    </row>
    <row r="557" spans="3:4" x14ac:dyDescent="0.2">
      <c r="C557" s="138"/>
      <c r="D557" s="138"/>
    </row>
    <row r="558" spans="3:4" x14ac:dyDescent="0.2">
      <c r="C558" s="138"/>
      <c r="D558" s="138"/>
    </row>
    <row r="559" spans="3:4" x14ac:dyDescent="0.2">
      <c r="C559" s="138"/>
      <c r="D559" s="138"/>
    </row>
    <row r="560" spans="3:4" x14ac:dyDescent="0.2">
      <c r="C560" s="138"/>
      <c r="D560" s="138"/>
    </row>
    <row r="561" spans="3:4" x14ac:dyDescent="0.2">
      <c r="C561" s="138"/>
      <c r="D561" s="138"/>
    </row>
    <row r="562" spans="3:4" x14ac:dyDescent="0.2">
      <c r="C562" s="138"/>
      <c r="D562" s="138"/>
    </row>
    <row r="563" spans="3:4" x14ac:dyDescent="0.2">
      <c r="C563" s="138"/>
      <c r="D563" s="138"/>
    </row>
    <row r="564" spans="3:4" x14ac:dyDescent="0.2">
      <c r="C564" s="138"/>
      <c r="D564" s="138"/>
    </row>
    <row r="565" spans="3:4" x14ac:dyDescent="0.2">
      <c r="C565" s="138"/>
      <c r="D565" s="138"/>
    </row>
    <row r="566" spans="3:4" x14ac:dyDescent="0.2">
      <c r="C566" s="138"/>
      <c r="D566" s="138"/>
    </row>
    <row r="567" spans="3:4" x14ac:dyDescent="0.2">
      <c r="C567" s="138"/>
      <c r="D567" s="138"/>
    </row>
    <row r="568" spans="3:4" x14ac:dyDescent="0.2">
      <c r="C568" s="138"/>
      <c r="D568" s="138"/>
    </row>
    <row r="569" spans="3:4" x14ac:dyDescent="0.2">
      <c r="C569" s="138"/>
      <c r="D569" s="138"/>
    </row>
    <row r="570" spans="3:4" x14ac:dyDescent="0.2">
      <c r="C570" s="138"/>
      <c r="D570" s="138"/>
    </row>
    <row r="571" spans="3:4" x14ac:dyDescent="0.2">
      <c r="C571" s="138"/>
      <c r="D571" s="138"/>
    </row>
    <row r="572" spans="3:4" x14ac:dyDescent="0.2">
      <c r="C572" s="138"/>
      <c r="D572" s="138"/>
    </row>
    <row r="573" spans="3:4" x14ac:dyDescent="0.2">
      <c r="C573" s="138"/>
      <c r="D573" s="138"/>
    </row>
    <row r="574" spans="3:4" x14ac:dyDescent="0.2">
      <c r="C574" s="138"/>
      <c r="D574" s="138"/>
    </row>
    <row r="575" spans="3:4" x14ac:dyDescent="0.2">
      <c r="C575" s="138"/>
      <c r="D575" s="138"/>
    </row>
    <row r="576" spans="3:4" x14ac:dyDescent="0.2">
      <c r="C576" s="138"/>
      <c r="D576" s="138"/>
    </row>
    <row r="577" spans="3:4" x14ac:dyDescent="0.2">
      <c r="C577" s="138"/>
      <c r="D577" s="138"/>
    </row>
    <row r="578" spans="3:4" x14ac:dyDescent="0.2">
      <c r="C578" s="138"/>
      <c r="D578" s="138"/>
    </row>
    <row r="579" spans="3:4" x14ac:dyDescent="0.2">
      <c r="C579" s="138"/>
      <c r="D579" s="138"/>
    </row>
    <row r="580" spans="3:4" x14ac:dyDescent="0.2">
      <c r="C580" s="138"/>
      <c r="D580" s="138"/>
    </row>
    <row r="581" spans="3:4" x14ac:dyDescent="0.2">
      <c r="C581" s="138"/>
      <c r="D581" s="138"/>
    </row>
    <row r="582" spans="3:4" x14ac:dyDescent="0.2">
      <c r="C582" s="138"/>
      <c r="D582" s="138"/>
    </row>
    <row r="583" spans="3:4" x14ac:dyDescent="0.2">
      <c r="C583" s="138"/>
      <c r="D583" s="138"/>
    </row>
    <row r="584" spans="3:4" x14ac:dyDescent="0.2">
      <c r="C584" s="138"/>
      <c r="D584" s="138"/>
    </row>
    <row r="585" spans="3:4" x14ac:dyDescent="0.2">
      <c r="C585" s="138"/>
      <c r="D585" s="138"/>
    </row>
    <row r="586" spans="3:4" x14ac:dyDescent="0.2">
      <c r="C586" s="138"/>
      <c r="D586" s="138"/>
    </row>
    <row r="587" spans="3:4" x14ac:dyDescent="0.2">
      <c r="C587" s="138"/>
      <c r="D587" s="138"/>
    </row>
    <row r="588" spans="3:4" x14ac:dyDescent="0.2">
      <c r="C588" s="138"/>
      <c r="D588" s="138"/>
    </row>
    <row r="589" spans="3:4" x14ac:dyDescent="0.2">
      <c r="C589" s="138"/>
      <c r="D589" s="138"/>
    </row>
    <row r="590" spans="3:4" x14ac:dyDescent="0.2">
      <c r="C590" s="138"/>
      <c r="D590" s="138"/>
    </row>
    <row r="591" spans="3:4" x14ac:dyDescent="0.2">
      <c r="C591" s="138"/>
      <c r="D591" s="138"/>
    </row>
    <row r="592" spans="3:4" x14ac:dyDescent="0.2">
      <c r="C592" s="138"/>
      <c r="D592" s="138"/>
    </row>
    <row r="593" spans="3:4" x14ac:dyDescent="0.2">
      <c r="C593" s="138"/>
      <c r="D593" s="138"/>
    </row>
    <row r="594" spans="3:4" x14ac:dyDescent="0.2">
      <c r="C594" s="138"/>
      <c r="D594" s="138"/>
    </row>
    <row r="595" spans="3:4" x14ac:dyDescent="0.2">
      <c r="C595" s="138"/>
      <c r="D595" s="138"/>
    </row>
    <row r="596" spans="3:4" x14ac:dyDescent="0.2">
      <c r="C596" s="138"/>
      <c r="D596" s="138"/>
    </row>
    <row r="597" spans="3:4" x14ac:dyDescent="0.2">
      <c r="C597" s="138"/>
      <c r="D597" s="138"/>
    </row>
    <row r="598" spans="3:4" x14ac:dyDescent="0.2">
      <c r="C598" s="138"/>
      <c r="D598" s="138"/>
    </row>
    <row r="599" spans="3:4" x14ac:dyDescent="0.2">
      <c r="C599" s="138"/>
      <c r="D599" s="138"/>
    </row>
    <row r="600" spans="3:4" x14ac:dyDescent="0.2">
      <c r="C600" s="138"/>
      <c r="D600" s="138"/>
    </row>
    <row r="601" spans="3:4" x14ac:dyDescent="0.2">
      <c r="C601" s="138"/>
      <c r="D601" s="138"/>
    </row>
    <row r="602" spans="3:4" x14ac:dyDescent="0.2">
      <c r="C602" s="138"/>
      <c r="D602" s="138"/>
    </row>
    <row r="603" spans="3:4" x14ac:dyDescent="0.2">
      <c r="C603" s="138"/>
      <c r="D603" s="138"/>
    </row>
    <row r="604" spans="3:4" x14ac:dyDescent="0.2">
      <c r="C604" s="138"/>
      <c r="D604" s="138"/>
    </row>
    <row r="605" spans="3:4" x14ac:dyDescent="0.2">
      <c r="C605" s="138"/>
      <c r="D605" s="138"/>
    </row>
    <row r="606" spans="3:4" x14ac:dyDescent="0.2">
      <c r="C606" s="138"/>
      <c r="D606" s="138"/>
    </row>
    <row r="607" spans="3:4" x14ac:dyDescent="0.2">
      <c r="C607" s="138"/>
      <c r="D607" s="138"/>
    </row>
    <row r="608" spans="3:4" x14ac:dyDescent="0.2">
      <c r="C608" s="138"/>
      <c r="D608" s="138"/>
    </row>
    <row r="609" spans="3:4" x14ac:dyDescent="0.2">
      <c r="C609" s="138"/>
      <c r="D609" s="138"/>
    </row>
    <row r="610" spans="3:4" x14ac:dyDescent="0.2">
      <c r="C610" s="138"/>
      <c r="D610" s="138"/>
    </row>
    <row r="611" spans="3:4" x14ac:dyDescent="0.2">
      <c r="C611" s="138"/>
      <c r="D611" s="138"/>
    </row>
    <row r="612" spans="3:4" x14ac:dyDescent="0.2">
      <c r="C612" s="138"/>
      <c r="D612" s="138"/>
    </row>
    <row r="613" spans="3:4" x14ac:dyDescent="0.2">
      <c r="C613" s="138"/>
      <c r="D613" s="138"/>
    </row>
    <row r="614" spans="3:4" x14ac:dyDescent="0.2">
      <c r="C614" s="138"/>
      <c r="D614" s="138"/>
    </row>
    <row r="615" spans="3:4" x14ac:dyDescent="0.2">
      <c r="C615" s="138"/>
      <c r="D615" s="138"/>
    </row>
    <row r="616" spans="3:4" x14ac:dyDescent="0.2">
      <c r="C616" s="138"/>
      <c r="D616" s="138"/>
    </row>
    <row r="617" spans="3:4" x14ac:dyDescent="0.2">
      <c r="C617" s="138"/>
      <c r="D617" s="138"/>
    </row>
    <row r="618" spans="3:4" x14ac:dyDescent="0.2">
      <c r="C618" s="138"/>
      <c r="D618" s="138"/>
    </row>
    <row r="619" spans="3:4" x14ac:dyDescent="0.2">
      <c r="C619" s="138"/>
      <c r="D619" s="138"/>
    </row>
    <row r="620" spans="3:4" x14ac:dyDescent="0.2">
      <c r="C620" s="138"/>
      <c r="D620" s="138"/>
    </row>
    <row r="621" spans="3:4" x14ac:dyDescent="0.2">
      <c r="C621" s="138"/>
      <c r="D621" s="138"/>
    </row>
    <row r="622" spans="3:4" x14ac:dyDescent="0.2">
      <c r="C622" s="138"/>
      <c r="D622" s="138"/>
    </row>
    <row r="623" spans="3:4" x14ac:dyDescent="0.2">
      <c r="C623" s="138"/>
      <c r="D623" s="138"/>
    </row>
    <row r="624" spans="3:4" x14ac:dyDescent="0.2">
      <c r="C624" s="138"/>
      <c r="D624" s="138"/>
    </row>
    <row r="625" spans="3:4" x14ac:dyDescent="0.2">
      <c r="C625" s="138"/>
      <c r="D625" s="138"/>
    </row>
    <row r="626" spans="3:4" x14ac:dyDescent="0.2">
      <c r="C626" s="138"/>
      <c r="D626" s="138"/>
    </row>
    <row r="627" spans="3:4" x14ac:dyDescent="0.2">
      <c r="C627" s="138"/>
      <c r="D627" s="138"/>
    </row>
    <row r="628" spans="3:4" x14ac:dyDescent="0.2">
      <c r="C628" s="138"/>
      <c r="D628" s="138"/>
    </row>
    <row r="629" spans="3:4" x14ac:dyDescent="0.2">
      <c r="C629" s="138"/>
      <c r="D629" s="138"/>
    </row>
    <row r="630" spans="3:4" x14ac:dyDescent="0.2">
      <c r="C630" s="138"/>
      <c r="D630" s="138"/>
    </row>
    <row r="631" spans="3:4" x14ac:dyDescent="0.2">
      <c r="C631" s="138"/>
      <c r="D631" s="138"/>
    </row>
    <row r="632" spans="3:4" x14ac:dyDescent="0.2">
      <c r="C632" s="138"/>
      <c r="D632" s="138"/>
    </row>
    <row r="633" spans="3:4" x14ac:dyDescent="0.2">
      <c r="C633" s="138"/>
      <c r="D633" s="138"/>
    </row>
    <row r="634" spans="3:4" x14ac:dyDescent="0.2">
      <c r="C634" s="138"/>
      <c r="D634" s="138"/>
    </row>
    <row r="635" spans="3:4" x14ac:dyDescent="0.2">
      <c r="C635" s="138"/>
      <c r="D635" s="138"/>
    </row>
    <row r="636" spans="3:4" x14ac:dyDescent="0.2">
      <c r="C636" s="138"/>
      <c r="D636" s="138"/>
    </row>
    <row r="637" spans="3:4" x14ac:dyDescent="0.2">
      <c r="C637" s="138"/>
      <c r="D637" s="138"/>
    </row>
    <row r="638" spans="3:4" x14ac:dyDescent="0.2">
      <c r="C638" s="138"/>
      <c r="D638" s="138"/>
    </row>
    <row r="639" spans="3:4" x14ac:dyDescent="0.2">
      <c r="C639" s="138"/>
      <c r="D639" s="138"/>
    </row>
    <row r="640" spans="3:4" x14ac:dyDescent="0.2">
      <c r="C640" s="138"/>
      <c r="D640" s="138"/>
    </row>
    <row r="641" spans="3:4" x14ac:dyDescent="0.2">
      <c r="C641" s="138"/>
      <c r="D641" s="138"/>
    </row>
    <row r="642" spans="3:4" x14ac:dyDescent="0.2">
      <c r="C642" s="138"/>
      <c r="D642" s="138"/>
    </row>
    <row r="643" spans="3:4" x14ac:dyDescent="0.2">
      <c r="C643" s="138"/>
      <c r="D643" s="138"/>
    </row>
    <row r="644" spans="3:4" x14ac:dyDescent="0.2">
      <c r="C644" s="138"/>
      <c r="D644" s="138"/>
    </row>
    <row r="645" spans="3:4" x14ac:dyDescent="0.2">
      <c r="C645" s="138"/>
      <c r="D645" s="138"/>
    </row>
    <row r="646" spans="3:4" x14ac:dyDescent="0.2">
      <c r="C646" s="138"/>
      <c r="D646" s="138"/>
    </row>
    <row r="647" spans="3:4" x14ac:dyDescent="0.2">
      <c r="C647" s="138"/>
      <c r="D647" s="138"/>
    </row>
    <row r="648" spans="3:4" x14ac:dyDescent="0.2">
      <c r="C648" s="138"/>
      <c r="D648" s="138"/>
    </row>
    <row r="649" spans="3:4" x14ac:dyDescent="0.2">
      <c r="C649" s="138"/>
      <c r="D649" s="138"/>
    </row>
    <row r="650" spans="3:4" x14ac:dyDescent="0.2">
      <c r="C650" s="138"/>
      <c r="D650" s="138"/>
    </row>
    <row r="651" spans="3:4" x14ac:dyDescent="0.2">
      <c r="C651" s="138"/>
      <c r="D651" s="138"/>
    </row>
    <row r="652" spans="3:4" x14ac:dyDescent="0.2">
      <c r="C652" s="138"/>
      <c r="D652" s="138"/>
    </row>
    <row r="653" spans="3:4" x14ac:dyDescent="0.2">
      <c r="C653" s="138"/>
      <c r="D653" s="138"/>
    </row>
    <row r="654" spans="3:4" x14ac:dyDescent="0.2">
      <c r="C654" s="138"/>
      <c r="D654" s="138"/>
    </row>
    <row r="655" spans="3:4" x14ac:dyDescent="0.2">
      <c r="C655" s="138"/>
      <c r="D655" s="138"/>
    </row>
    <row r="656" spans="3:4" x14ac:dyDescent="0.2">
      <c r="C656" s="138"/>
      <c r="D656" s="138"/>
    </row>
    <row r="657" spans="3:4" x14ac:dyDescent="0.2">
      <c r="C657" s="138"/>
      <c r="D657" s="138"/>
    </row>
    <row r="658" spans="3:4" x14ac:dyDescent="0.2">
      <c r="C658" s="138"/>
      <c r="D658" s="138"/>
    </row>
    <row r="659" spans="3:4" x14ac:dyDescent="0.2">
      <c r="C659" s="138"/>
      <c r="D659" s="138"/>
    </row>
    <row r="660" spans="3:4" x14ac:dyDescent="0.2">
      <c r="C660" s="138"/>
      <c r="D660" s="138"/>
    </row>
    <row r="661" spans="3:4" x14ac:dyDescent="0.2">
      <c r="C661" s="138"/>
      <c r="D661" s="138"/>
    </row>
    <row r="662" spans="3:4" x14ac:dyDescent="0.2">
      <c r="C662" s="138"/>
      <c r="D662" s="138"/>
    </row>
    <row r="663" spans="3:4" x14ac:dyDescent="0.2">
      <c r="C663" s="138"/>
      <c r="D663" s="138"/>
    </row>
    <row r="664" spans="3:4" x14ac:dyDescent="0.2">
      <c r="C664" s="138"/>
      <c r="D664" s="138"/>
    </row>
    <row r="665" spans="3:4" x14ac:dyDescent="0.2">
      <c r="C665" s="138"/>
      <c r="D665" s="138"/>
    </row>
    <row r="666" spans="3:4" x14ac:dyDescent="0.2">
      <c r="C666" s="138"/>
      <c r="D666" s="138"/>
    </row>
    <row r="667" spans="3:4" x14ac:dyDescent="0.2">
      <c r="C667" s="138"/>
      <c r="D667" s="138"/>
    </row>
    <row r="668" spans="3:4" x14ac:dyDescent="0.2">
      <c r="C668" s="138"/>
      <c r="D668" s="138"/>
    </row>
    <row r="669" spans="3:4" x14ac:dyDescent="0.2">
      <c r="C669" s="138"/>
      <c r="D669" s="138"/>
    </row>
    <row r="670" spans="3:4" x14ac:dyDescent="0.2">
      <c r="C670" s="138"/>
      <c r="D670" s="138"/>
    </row>
    <row r="671" spans="3:4" x14ac:dyDescent="0.2">
      <c r="C671" s="138"/>
      <c r="D671" s="138"/>
    </row>
    <row r="672" spans="3:4" x14ac:dyDescent="0.2">
      <c r="C672" s="138"/>
      <c r="D672" s="138"/>
    </row>
    <row r="673" spans="3:4" x14ac:dyDescent="0.2">
      <c r="C673" s="138"/>
      <c r="D673" s="138"/>
    </row>
    <row r="674" spans="3:4" x14ac:dyDescent="0.2">
      <c r="C674" s="138"/>
      <c r="D674" s="138"/>
    </row>
    <row r="675" spans="3:4" x14ac:dyDescent="0.2">
      <c r="C675" s="138"/>
      <c r="D675" s="138"/>
    </row>
    <row r="676" spans="3:4" x14ac:dyDescent="0.2">
      <c r="C676" s="138"/>
      <c r="D676" s="138"/>
    </row>
    <row r="677" spans="3:4" x14ac:dyDescent="0.2">
      <c r="C677" s="138"/>
      <c r="D677" s="138"/>
    </row>
    <row r="678" spans="3:4" x14ac:dyDescent="0.2">
      <c r="C678" s="138"/>
      <c r="D678" s="138"/>
    </row>
    <row r="679" spans="3:4" x14ac:dyDescent="0.2">
      <c r="C679" s="138"/>
      <c r="D679" s="138"/>
    </row>
    <row r="680" spans="3:4" x14ac:dyDescent="0.2">
      <c r="C680" s="138"/>
      <c r="D680" s="138"/>
    </row>
    <row r="681" spans="3:4" x14ac:dyDescent="0.2">
      <c r="C681" s="138"/>
      <c r="D681" s="138"/>
    </row>
    <row r="682" spans="3:4" x14ac:dyDescent="0.2">
      <c r="C682" s="138"/>
      <c r="D682" s="138"/>
    </row>
    <row r="683" spans="3:4" x14ac:dyDescent="0.2">
      <c r="C683" s="138"/>
      <c r="D683" s="138"/>
    </row>
    <row r="684" spans="3:4" x14ac:dyDescent="0.2">
      <c r="C684" s="138"/>
      <c r="D684" s="138"/>
    </row>
    <row r="685" spans="3:4" x14ac:dyDescent="0.2">
      <c r="C685" s="138"/>
      <c r="D685" s="138"/>
    </row>
    <row r="686" spans="3:4" x14ac:dyDescent="0.2">
      <c r="C686" s="138"/>
      <c r="D686" s="138"/>
    </row>
    <row r="687" spans="3:4" x14ac:dyDescent="0.2">
      <c r="C687" s="138"/>
      <c r="D687" s="138"/>
    </row>
    <row r="688" spans="3:4" x14ac:dyDescent="0.2">
      <c r="C688" s="138"/>
      <c r="D688" s="138"/>
    </row>
    <row r="689" spans="3:4" x14ac:dyDescent="0.2">
      <c r="C689" s="138"/>
      <c r="D689" s="138"/>
    </row>
    <row r="690" spans="3:4" x14ac:dyDescent="0.2">
      <c r="C690" s="138"/>
      <c r="D690" s="138"/>
    </row>
    <row r="691" spans="3:4" x14ac:dyDescent="0.2">
      <c r="C691" s="138"/>
      <c r="D691" s="138"/>
    </row>
    <row r="692" spans="3:4" x14ac:dyDescent="0.2">
      <c r="C692" s="138"/>
      <c r="D692" s="138"/>
    </row>
    <row r="693" spans="3:4" x14ac:dyDescent="0.2">
      <c r="C693" s="138"/>
      <c r="D693" s="138"/>
    </row>
    <row r="694" spans="3:4" x14ac:dyDescent="0.2">
      <c r="C694" s="138"/>
      <c r="D694" s="138"/>
    </row>
    <row r="695" spans="3:4" x14ac:dyDescent="0.2">
      <c r="C695" s="138"/>
      <c r="D695" s="138"/>
    </row>
    <row r="696" spans="3:4" x14ac:dyDescent="0.2">
      <c r="C696" s="138"/>
      <c r="D696" s="138"/>
    </row>
    <row r="697" spans="3:4" x14ac:dyDescent="0.2">
      <c r="C697" s="138"/>
      <c r="D697" s="138"/>
    </row>
    <row r="698" spans="3:4" x14ac:dyDescent="0.2">
      <c r="C698" s="138"/>
      <c r="D698" s="138"/>
    </row>
    <row r="699" spans="3:4" x14ac:dyDescent="0.2">
      <c r="C699" s="138"/>
      <c r="D699" s="138"/>
    </row>
    <row r="700" spans="3:4" x14ac:dyDescent="0.2">
      <c r="C700" s="138"/>
      <c r="D700" s="138"/>
    </row>
    <row r="701" spans="3:4" x14ac:dyDescent="0.2">
      <c r="C701" s="138"/>
      <c r="D701" s="138"/>
    </row>
    <row r="702" spans="3:4" x14ac:dyDescent="0.2">
      <c r="C702" s="138"/>
      <c r="D702" s="138"/>
    </row>
    <row r="703" spans="3:4" x14ac:dyDescent="0.2">
      <c r="C703" s="138"/>
      <c r="D703" s="138"/>
    </row>
    <row r="704" spans="3:4" x14ac:dyDescent="0.2">
      <c r="C704" s="138"/>
      <c r="D704" s="138"/>
    </row>
    <row r="705" spans="3:4" x14ac:dyDescent="0.2">
      <c r="C705" s="138"/>
      <c r="D705" s="138"/>
    </row>
    <row r="706" spans="3:4" x14ac:dyDescent="0.2">
      <c r="C706" s="138"/>
      <c r="D706" s="138"/>
    </row>
    <row r="707" spans="3:4" x14ac:dyDescent="0.2">
      <c r="C707" s="138"/>
      <c r="D707" s="138"/>
    </row>
    <row r="708" spans="3:4" x14ac:dyDescent="0.2">
      <c r="C708" s="138"/>
      <c r="D708" s="138"/>
    </row>
    <row r="709" spans="3:4" x14ac:dyDescent="0.2">
      <c r="C709" s="138"/>
      <c r="D709" s="138"/>
    </row>
    <row r="710" spans="3:4" x14ac:dyDescent="0.2">
      <c r="C710" s="138"/>
      <c r="D710" s="138"/>
    </row>
    <row r="711" spans="3:4" x14ac:dyDescent="0.2">
      <c r="C711" s="138"/>
      <c r="D711" s="138"/>
    </row>
    <row r="712" spans="3:4" x14ac:dyDescent="0.2">
      <c r="C712" s="138"/>
      <c r="D712" s="138"/>
    </row>
    <row r="713" spans="3:4" x14ac:dyDescent="0.2">
      <c r="C713" s="138"/>
      <c r="D713" s="138"/>
    </row>
    <row r="714" spans="3:4" x14ac:dyDescent="0.2">
      <c r="C714" s="138"/>
      <c r="D714" s="138"/>
    </row>
    <row r="715" spans="3:4" x14ac:dyDescent="0.2">
      <c r="C715" s="138"/>
      <c r="D715" s="138"/>
    </row>
    <row r="716" spans="3:4" x14ac:dyDescent="0.2">
      <c r="C716" s="138"/>
      <c r="D716" s="138"/>
    </row>
    <row r="717" spans="3:4" x14ac:dyDescent="0.2">
      <c r="C717" s="138"/>
      <c r="D717" s="138"/>
    </row>
    <row r="718" spans="3:4" x14ac:dyDescent="0.2">
      <c r="C718" s="138"/>
      <c r="D718" s="138"/>
    </row>
    <row r="719" spans="3:4" x14ac:dyDescent="0.2">
      <c r="C719" s="138"/>
      <c r="D719" s="138"/>
    </row>
    <row r="720" spans="3:4" x14ac:dyDescent="0.2">
      <c r="C720" s="138"/>
      <c r="D720" s="138"/>
    </row>
    <row r="721" spans="3:4" x14ac:dyDescent="0.2">
      <c r="C721" s="138"/>
      <c r="D721" s="138"/>
    </row>
    <row r="722" spans="3:4" x14ac:dyDescent="0.2">
      <c r="C722" s="138"/>
      <c r="D722" s="138"/>
    </row>
    <row r="723" spans="3:4" x14ac:dyDescent="0.2">
      <c r="C723" s="138"/>
      <c r="D723" s="138"/>
    </row>
    <row r="724" spans="3:4" x14ac:dyDescent="0.2">
      <c r="C724" s="138"/>
      <c r="D724" s="138"/>
    </row>
    <row r="725" spans="3:4" x14ac:dyDescent="0.2">
      <c r="C725" s="138"/>
      <c r="D725" s="138"/>
    </row>
    <row r="726" spans="3:4" x14ac:dyDescent="0.2">
      <c r="C726" s="138"/>
      <c r="D726" s="138"/>
    </row>
    <row r="727" spans="3:4" x14ac:dyDescent="0.2">
      <c r="C727" s="138"/>
      <c r="D727" s="138"/>
    </row>
    <row r="728" spans="3:4" x14ac:dyDescent="0.2">
      <c r="C728" s="138"/>
      <c r="D728" s="138"/>
    </row>
    <row r="729" spans="3:4" x14ac:dyDescent="0.2">
      <c r="C729" s="138"/>
      <c r="D729" s="138"/>
    </row>
    <row r="730" spans="3:4" x14ac:dyDescent="0.2">
      <c r="C730" s="138"/>
      <c r="D730" s="138"/>
    </row>
    <row r="731" spans="3:4" x14ac:dyDescent="0.2">
      <c r="C731" s="138"/>
      <c r="D731" s="138"/>
    </row>
    <row r="732" spans="3:4" x14ac:dyDescent="0.2">
      <c r="C732" s="138"/>
      <c r="D732" s="138"/>
    </row>
    <row r="733" spans="3:4" x14ac:dyDescent="0.2">
      <c r="C733" s="138"/>
      <c r="D733" s="138"/>
    </row>
    <row r="734" spans="3:4" x14ac:dyDescent="0.2">
      <c r="C734" s="138"/>
      <c r="D734" s="138"/>
    </row>
    <row r="735" spans="3:4" x14ac:dyDescent="0.2">
      <c r="C735" s="138"/>
      <c r="D735" s="138"/>
    </row>
    <row r="736" spans="3:4" x14ac:dyDescent="0.2">
      <c r="C736" s="138"/>
      <c r="D736" s="138"/>
    </row>
    <row r="737" spans="3:4" x14ac:dyDescent="0.2">
      <c r="C737" s="138"/>
      <c r="D737" s="138"/>
    </row>
    <row r="738" spans="3:4" x14ac:dyDescent="0.2">
      <c r="C738" s="138"/>
      <c r="D738" s="138"/>
    </row>
    <row r="739" spans="3:4" x14ac:dyDescent="0.2">
      <c r="C739" s="138"/>
      <c r="D739" s="138"/>
    </row>
    <row r="740" spans="3:4" x14ac:dyDescent="0.2">
      <c r="C740" s="138"/>
      <c r="D740" s="138"/>
    </row>
    <row r="741" spans="3:4" x14ac:dyDescent="0.2">
      <c r="C741" s="138"/>
      <c r="D741" s="138"/>
    </row>
    <row r="742" spans="3:4" x14ac:dyDescent="0.2">
      <c r="C742" s="138"/>
      <c r="D742" s="138"/>
    </row>
    <row r="743" spans="3:4" x14ac:dyDescent="0.2">
      <c r="C743" s="138"/>
      <c r="D743" s="138"/>
    </row>
    <row r="744" spans="3:4" x14ac:dyDescent="0.2">
      <c r="C744" s="138"/>
      <c r="D744" s="138"/>
    </row>
    <row r="745" spans="3:4" x14ac:dyDescent="0.2">
      <c r="C745" s="138"/>
      <c r="D745" s="138"/>
    </row>
    <row r="746" spans="3:4" x14ac:dyDescent="0.2">
      <c r="C746" s="138"/>
      <c r="D746" s="138"/>
    </row>
    <row r="747" spans="3:4" x14ac:dyDescent="0.2">
      <c r="C747" s="138"/>
      <c r="D747" s="138"/>
    </row>
    <row r="748" spans="3:4" x14ac:dyDescent="0.2">
      <c r="C748" s="138"/>
      <c r="D748" s="138"/>
    </row>
    <row r="749" spans="3:4" x14ac:dyDescent="0.2">
      <c r="C749" s="138"/>
      <c r="D749" s="138"/>
    </row>
    <row r="750" spans="3:4" x14ac:dyDescent="0.2">
      <c r="C750" s="138"/>
      <c r="D750" s="138"/>
    </row>
    <row r="751" spans="3:4" x14ac:dyDescent="0.2">
      <c r="C751" s="138"/>
      <c r="D751" s="138"/>
    </row>
    <row r="752" spans="3:4" x14ac:dyDescent="0.2">
      <c r="C752" s="138"/>
      <c r="D752" s="138"/>
    </row>
    <row r="753" spans="3:4" x14ac:dyDescent="0.2">
      <c r="C753" s="138"/>
      <c r="D753" s="138"/>
    </row>
    <row r="754" spans="3:4" x14ac:dyDescent="0.2">
      <c r="C754" s="138"/>
      <c r="D754" s="138"/>
    </row>
    <row r="755" spans="3:4" x14ac:dyDescent="0.2">
      <c r="C755" s="138"/>
      <c r="D755" s="138"/>
    </row>
    <row r="756" spans="3:4" x14ac:dyDescent="0.2">
      <c r="C756" s="138"/>
      <c r="D756" s="138"/>
    </row>
    <row r="757" spans="3:4" x14ac:dyDescent="0.2">
      <c r="C757" s="138"/>
      <c r="D757" s="138"/>
    </row>
    <row r="758" spans="3:4" x14ac:dyDescent="0.2">
      <c r="C758" s="138"/>
      <c r="D758" s="138"/>
    </row>
    <row r="759" spans="3:4" x14ac:dyDescent="0.2">
      <c r="C759" s="138"/>
      <c r="D759" s="138"/>
    </row>
    <row r="760" spans="3:4" x14ac:dyDescent="0.2">
      <c r="C760" s="138"/>
      <c r="D760" s="138"/>
    </row>
    <row r="761" spans="3:4" x14ac:dyDescent="0.2">
      <c r="C761" s="138"/>
      <c r="D761" s="138"/>
    </row>
    <row r="762" spans="3:4" x14ac:dyDescent="0.2">
      <c r="C762" s="138"/>
      <c r="D762" s="138"/>
    </row>
    <row r="763" spans="3:4" x14ac:dyDescent="0.2">
      <c r="C763" s="138"/>
      <c r="D763" s="138"/>
    </row>
    <row r="764" spans="3:4" x14ac:dyDescent="0.2">
      <c r="C764" s="138"/>
      <c r="D764" s="138"/>
    </row>
    <row r="765" spans="3:4" x14ac:dyDescent="0.2">
      <c r="C765" s="138"/>
      <c r="D765" s="138"/>
    </row>
    <row r="766" spans="3:4" x14ac:dyDescent="0.2">
      <c r="C766" s="138"/>
      <c r="D766" s="138"/>
    </row>
    <row r="767" spans="3:4" x14ac:dyDescent="0.2">
      <c r="C767" s="138"/>
      <c r="D767" s="138"/>
    </row>
    <row r="768" spans="3:4" x14ac:dyDescent="0.2">
      <c r="C768" s="138"/>
      <c r="D768" s="138"/>
    </row>
    <row r="769" spans="3:4" x14ac:dyDescent="0.2">
      <c r="C769" s="138"/>
      <c r="D769" s="138"/>
    </row>
    <row r="770" spans="3:4" x14ac:dyDescent="0.2">
      <c r="C770" s="138"/>
      <c r="D770" s="138"/>
    </row>
    <row r="771" spans="3:4" x14ac:dyDescent="0.2">
      <c r="C771" s="138"/>
      <c r="D771" s="138"/>
    </row>
    <row r="772" spans="3:4" x14ac:dyDescent="0.2">
      <c r="C772" s="138"/>
      <c r="D772" s="138"/>
    </row>
    <row r="773" spans="3:4" x14ac:dyDescent="0.2">
      <c r="C773" s="138"/>
      <c r="D773" s="138"/>
    </row>
    <row r="774" spans="3:4" x14ac:dyDescent="0.2">
      <c r="C774" s="138"/>
      <c r="D774" s="138"/>
    </row>
    <row r="775" spans="3:4" x14ac:dyDescent="0.2">
      <c r="C775" s="138"/>
      <c r="D775" s="138"/>
    </row>
    <row r="776" spans="3:4" x14ac:dyDescent="0.2">
      <c r="C776" s="138"/>
      <c r="D776" s="138"/>
    </row>
    <row r="777" spans="3:4" x14ac:dyDescent="0.2">
      <c r="C777" s="138"/>
      <c r="D777" s="138"/>
    </row>
    <row r="778" spans="3:4" x14ac:dyDescent="0.2">
      <c r="C778" s="138"/>
      <c r="D778" s="138"/>
    </row>
    <row r="779" spans="3:4" x14ac:dyDescent="0.2">
      <c r="C779" s="138"/>
      <c r="D779" s="138"/>
    </row>
    <row r="780" spans="3:4" x14ac:dyDescent="0.2">
      <c r="C780" s="138"/>
      <c r="D780" s="138"/>
    </row>
    <row r="781" spans="3:4" x14ac:dyDescent="0.2">
      <c r="C781" s="138"/>
      <c r="D781" s="138"/>
    </row>
    <row r="782" spans="3:4" x14ac:dyDescent="0.2">
      <c r="C782" s="138"/>
      <c r="D782" s="138"/>
    </row>
    <row r="783" spans="3:4" x14ac:dyDescent="0.2">
      <c r="C783" s="138"/>
      <c r="D783" s="138"/>
    </row>
    <row r="784" spans="3:4" x14ac:dyDescent="0.2">
      <c r="C784" s="138"/>
      <c r="D784" s="138"/>
    </row>
    <row r="785" spans="3:4" x14ac:dyDescent="0.2">
      <c r="C785" s="138"/>
      <c r="D785" s="138"/>
    </row>
    <row r="786" spans="3:4" x14ac:dyDescent="0.2">
      <c r="C786" s="138"/>
      <c r="D786" s="138"/>
    </row>
    <row r="787" spans="3:4" x14ac:dyDescent="0.2">
      <c r="C787" s="138"/>
      <c r="D787" s="138"/>
    </row>
    <row r="788" spans="3:4" x14ac:dyDescent="0.2">
      <c r="C788" s="138"/>
      <c r="D788" s="138"/>
    </row>
    <row r="789" spans="3:4" x14ac:dyDescent="0.2">
      <c r="C789" s="138"/>
      <c r="D789" s="138"/>
    </row>
    <row r="790" spans="3:4" x14ac:dyDescent="0.2">
      <c r="C790" s="138"/>
      <c r="D790" s="138"/>
    </row>
    <row r="791" spans="3:4" x14ac:dyDescent="0.2">
      <c r="C791" s="138"/>
      <c r="D791" s="138"/>
    </row>
    <row r="792" spans="3:4" x14ac:dyDescent="0.2">
      <c r="C792" s="138"/>
      <c r="D792" s="138"/>
    </row>
    <row r="793" spans="3:4" x14ac:dyDescent="0.2">
      <c r="C793" s="138"/>
      <c r="D793" s="138"/>
    </row>
    <row r="794" spans="3:4" x14ac:dyDescent="0.2">
      <c r="C794" s="138"/>
      <c r="D794" s="138"/>
    </row>
    <row r="795" spans="3:4" x14ac:dyDescent="0.2">
      <c r="C795" s="138"/>
      <c r="D795" s="138"/>
    </row>
    <row r="796" spans="3:4" x14ac:dyDescent="0.2">
      <c r="C796" s="138"/>
      <c r="D796" s="138"/>
    </row>
    <row r="797" spans="3:4" x14ac:dyDescent="0.2">
      <c r="C797" s="138"/>
      <c r="D797" s="138"/>
    </row>
    <row r="798" spans="3:4" x14ac:dyDescent="0.2">
      <c r="C798" s="138"/>
      <c r="D798" s="138"/>
    </row>
    <row r="799" spans="3:4" x14ac:dyDescent="0.2">
      <c r="C799" s="138"/>
      <c r="D799" s="138"/>
    </row>
    <row r="800" spans="3:4" x14ac:dyDescent="0.2">
      <c r="C800" s="138"/>
      <c r="D800" s="138"/>
    </row>
    <row r="801" spans="3:4" x14ac:dyDescent="0.2">
      <c r="C801" s="138"/>
      <c r="D801" s="138"/>
    </row>
    <row r="802" spans="3:4" x14ac:dyDescent="0.2">
      <c r="C802" s="138"/>
      <c r="D802" s="138"/>
    </row>
    <row r="803" spans="3:4" x14ac:dyDescent="0.2">
      <c r="C803" s="138"/>
      <c r="D803" s="138"/>
    </row>
    <row r="804" spans="3:4" x14ac:dyDescent="0.2">
      <c r="C804" s="138"/>
      <c r="D804" s="138"/>
    </row>
    <row r="805" spans="3:4" x14ac:dyDescent="0.2">
      <c r="C805" s="138"/>
      <c r="D805" s="138"/>
    </row>
    <row r="806" spans="3:4" x14ac:dyDescent="0.2">
      <c r="C806" s="138"/>
      <c r="D806" s="138"/>
    </row>
    <row r="807" spans="3:4" x14ac:dyDescent="0.2">
      <c r="C807" s="138"/>
      <c r="D807" s="138"/>
    </row>
    <row r="808" spans="3:4" x14ac:dyDescent="0.2">
      <c r="C808" s="138"/>
      <c r="D808" s="138"/>
    </row>
    <row r="809" spans="3:4" x14ac:dyDescent="0.2">
      <c r="C809" s="138"/>
      <c r="D809" s="138"/>
    </row>
    <row r="810" spans="3:4" x14ac:dyDescent="0.2">
      <c r="C810" s="138"/>
      <c r="D810" s="138"/>
    </row>
    <row r="811" spans="3:4" x14ac:dyDescent="0.2">
      <c r="C811" s="138"/>
      <c r="D811" s="138"/>
    </row>
    <row r="812" spans="3:4" x14ac:dyDescent="0.2">
      <c r="C812" s="138"/>
      <c r="D812" s="138"/>
    </row>
    <row r="813" spans="3:4" x14ac:dyDescent="0.2">
      <c r="C813" s="138"/>
      <c r="D813" s="138"/>
    </row>
    <row r="814" spans="3:4" x14ac:dyDescent="0.2">
      <c r="C814" s="138"/>
      <c r="D814" s="138"/>
    </row>
    <row r="815" spans="3:4" x14ac:dyDescent="0.2">
      <c r="C815" s="138"/>
      <c r="D815" s="138"/>
    </row>
    <row r="816" spans="3:4" x14ac:dyDescent="0.2">
      <c r="C816" s="138"/>
      <c r="D816" s="138"/>
    </row>
    <row r="817" spans="3:4" x14ac:dyDescent="0.2">
      <c r="C817" s="138"/>
      <c r="D817" s="138"/>
    </row>
    <row r="818" spans="3:4" x14ac:dyDescent="0.2">
      <c r="C818" s="138"/>
      <c r="D818" s="138"/>
    </row>
    <row r="819" spans="3:4" x14ac:dyDescent="0.2">
      <c r="C819" s="138"/>
      <c r="D819" s="138"/>
    </row>
    <row r="820" spans="3:4" x14ac:dyDescent="0.2">
      <c r="C820" s="138"/>
      <c r="D820" s="138"/>
    </row>
    <row r="821" spans="3:4" x14ac:dyDescent="0.2">
      <c r="C821" s="138"/>
      <c r="D821" s="138"/>
    </row>
    <row r="822" spans="3:4" x14ac:dyDescent="0.2">
      <c r="C822" s="138"/>
      <c r="D822" s="138"/>
    </row>
    <row r="823" spans="3:4" x14ac:dyDescent="0.2">
      <c r="C823" s="138"/>
      <c r="D823" s="138"/>
    </row>
    <row r="824" spans="3:4" x14ac:dyDescent="0.2">
      <c r="C824" s="138"/>
      <c r="D824" s="138"/>
    </row>
    <row r="825" spans="3:4" x14ac:dyDescent="0.2">
      <c r="C825" s="138"/>
      <c r="D825" s="138"/>
    </row>
    <row r="826" spans="3:4" x14ac:dyDescent="0.2">
      <c r="C826" s="138"/>
      <c r="D826" s="138"/>
    </row>
    <row r="827" spans="3:4" x14ac:dyDescent="0.2">
      <c r="C827" s="138"/>
      <c r="D827" s="138"/>
    </row>
    <row r="828" spans="3:4" x14ac:dyDescent="0.2">
      <c r="C828" s="138"/>
      <c r="D828" s="138"/>
    </row>
    <row r="829" spans="3:4" x14ac:dyDescent="0.2">
      <c r="C829" s="138"/>
      <c r="D829" s="138"/>
    </row>
    <row r="830" spans="3:4" x14ac:dyDescent="0.2">
      <c r="C830" s="138"/>
      <c r="D830" s="138"/>
    </row>
    <row r="831" spans="3:4" x14ac:dyDescent="0.2">
      <c r="C831" s="138"/>
      <c r="D831" s="138"/>
    </row>
    <row r="832" spans="3:4" x14ac:dyDescent="0.2">
      <c r="C832" s="138"/>
      <c r="D832" s="138"/>
    </row>
    <row r="833" spans="3:4" x14ac:dyDescent="0.2">
      <c r="C833" s="138"/>
      <c r="D833" s="138"/>
    </row>
    <row r="834" spans="3:4" x14ac:dyDescent="0.2">
      <c r="C834" s="138"/>
      <c r="D834" s="138"/>
    </row>
    <row r="835" spans="3:4" x14ac:dyDescent="0.2">
      <c r="C835" s="138"/>
      <c r="D835" s="138"/>
    </row>
    <row r="836" spans="3:4" x14ac:dyDescent="0.2">
      <c r="C836" s="138"/>
      <c r="D836" s="138"/>
    </row>
    <row r="837" spans="3:4" x14ac:dyDescent="0.2">
      <c r="C837" s="138"/>
      <c r="D837" s="138"/>
    </row>
    <row r="838" spans="3:4" x14ac:dyDescent="0.2">
      <c r="C838" s="138"/>
      <c r="D838" s="138"/>
    </row>
    <row r="839" spans="3:4" x14ac:dyDescent="0.2">
      <c r="C839" s="138"/>
      <c r="D839" s="138"/>
    </row>
    <row r="840" spans="3:4" x14ac:dyDescent="0.2">
      <c r="C840" s="138"/>
      <c r="D840" s="138"/>
    </row>
    <row r="841" spans="3:4" x14ac:dyDescent="0.2">
      <c r="C841" s="138"/>
      <c r="D841" s="138"/>
    </row>
    <row r="842" spans="3:4" x14ac:dyDescent="0.2">
      <c r="C842" s="138"/>
      <c r="D842" s="138"/>
    </row>
    <row r="843" spans="3:4" x14ac:dyDescent="0.2">
      <c r="C843" s="138"/>
      <c r="D843" s="138"/>
    </row>
    <row r="844" spans="3:4" x14ac:dyDescent="0.2">
      <c r="C844" s="138"/>
      <c r="D844" s="138"/>
    </row>
    <row r="845" spans="3:4" x14ac:dyDescent="0.2">
      <c r="C845" s="138"/>
      <c r="D845" s="138"/>
    </row>
    <row r="846" spans="3:4" x14ac:dyDescent="0.2">
      <c r="C846" s="138"/>
      <c r="D846" s="138"/>
    </row>
    <row r="847" spans="3:4" x14ac:dyDescent="0.2">
      <c r="C847" s="138"/>
      <c r="D847" s="138"/>
    </row>
    <row r="848" spans="3:4" x14ac:dyDescent="0.2">
      <c r="C848" s="138"/>
      <c r="D848" s="138"/>
    </row>
    <row r="849" spans="3:4" x14ac:dyDescent="0.2">
      <c r="C849" s="138"/>
      <c r="D849" s="138"/>
    </row>
    <row r="850" spans="3:4" x14ac:dyDescent="0.2">
      <c r="C850" s="138"/>
      <c r="D850" s="138"/>
    </row>
    <row r="851" spans="3:4" x14ac:dyDescent="0.2">
      <c r="C851" s="138"/>
      <c r="D851" s="138"/>
    </row>
    <row r="852" spans="3:4" x14ac:dyDescent="0.2">
      <c r="C852" s="138"/>
      <c r="D852" s="138"/>
    </row>
    <row r="853" spans="3:4" x14ac:dyDescent="0.2">
      <c r="C853" s="138"/>
      <c r="D853" s="138"/>
    </row>
    <row r="854" spans="3:4" x14ac:dyDescent="0.2">
      <c r="C854" s="138"/>
      <c r="D854" s="138"/>
    </row>
    <row r="855" spans="3:4" x14ac:dyDescent="0.2">
      <c r="C855" s="138"/>
      <c r="D855" s="138"/>
    </row>
    <row r="856" spans="3:4" x14ac:dyDescent="0.2">
      <c r="C856" s="138"/>
      <c r="D856" s="138"/>
    </row>
    <row r="857" spans="3:4" x14ac:dyDescent="0.2">
      <c r="C857" s="138"/>
      <c r="D857" s="138"/>
    </row>
    <row r="858" spans="3:4" x14ac:dyDescent="0.2">
      <c r="C858" s="138"/>
      <c r="D858" s="138"/>
    </row>
    <row r="859" spans="3:4" x14ac:dyDescent="0.2">
      <c r="C859" s="138"/>
      <c r="D859" s="138"/>
    </row>
    <row r="860" spans="3:4" x14ac:dyDescent="0.2">
      <c r="C860" s="138"/>
      <c r="D860" s="138"/>
    </row>
    <row r="861" spans="3:4" x14ac:dyDescent="0.2">
      <c r="C861" s="138"/>
      <c r="D861" s="138"/>
    </row>
    <row r="862" spans="3:4" x14ac:dyDescent="0.2">
      <c r="C862" s="138"/>
      <c r="D862" s="138"/>
    </row>
    <row r="863" spans="3:4" x14ac:dyDescent="0.2">
      <c r="C863" s="138"/>
      <c r="D863" s="138"/>
    </row>
    <row r="864" spans="3:4" x14ac:dyDescent="0.2">
      <c r="C864" s="138"/>
      <c r="D864" s="138"/>
    </row>
    <row r="865" spans="3:4" x14ac:dyDescent="0.2">
      <c r="C865" s="138"/>
      <c r="D865" s="138"/>
    </row>
    <row r="866" spans="3:4" x14ac:dyDescent="0.2">
      <c r="C866" s="138"/>
      <c r="D866" s="138"/>
    </row>
    <row r="867" spans="3:4" x14ac:dyDescent="0.2">
      <c r="C867" s="138"/>
      <c r="D867" s="138"/>
    </row>
    <row r="868" spans="3:4" x14ac:dyDescent="0.2">
      <c r="C868" s="138"/>
      <c r="D868" s="138"/>
    </row>
    <row r="869" spans="3:4" x14ac:dyDescent="0.2">
      <c r="C869" s="138"/>
      <c r="D869" s="138"/>
    </row>
    <row r="870" spans="3:4" x14ac:dyDescent="0.2">
      <c r="C870" s="138"/>
      <c r="D870" s="138"/>
    </row>
    <row r="871" spans="3:4" x14ac:dyDescent="0.2">
      <c r="C871" s="138"/>
      <c r="D871" s="138"/>
    </row>
    <row r="872" spans="3:4" x14ac:dyDescent="0.2">
      <c r="C872" s="138"/>
      <c r="D872" s="138"/>
    </row>
    <row r="873" spans="3:4" x14ac:dyDescent="0.2">
      <c r="C873" s="138"/>
      <c r="D873" s="138"/>
    </row>
    <row r="874" spans="3:4" x14ac:dyDescent="0.2">
      <c r="C874" s="138"/>
      <c r="D874" s="138"/>
    </row>
    <row r="875" spans="3:4" x14ac:dyDescent="0.2">
      <c r="C875" s="138"/>
      <c r="D875" s="138"/>
    </row>
    <row r="876" spans="3:4" x14ac:dyDescent="0.2">
      <c r="C876" s="138"/>
      <c r="D876" s="138"/>
    </row>
    <row r="877" spans="3:4" x14ac:dyDescent="0.2">
      <c r="C877" s="138"/>
      <c r="D877" s="138"/>
    </row>
    <row r="878" spans="3:4" x14ac:dyDescent="0.2">
      <c r="C878" s="138"/>
      <c r="D878" s="138"/>
    </row>
    <row r="879" spans="3:4" x14ac:dyDescent="0.2">
      <c r="C879" s="138"/>
      <c r="D879" s="138"/>
    </row>
    <row r="880" spans="3:4" x14ac:dyDescent="0.2">
      <c r="C880" s="138"/>
      <c r="D880" s="138"/>
    </row>
    <row r="881" spans="3:4" x14ac:dyDescent="0.2">
      <c r="C881" s="138"/>
      <c r="D881" s="138"/>
    </row>
    <row r="882" spans="3:4" x14ac:dyDescent="0.2">
      <c r="C882" s="138"/>
      <c r="D882" s="138"/>
    </row>
    <row r="883" spans="3:4" x14ac:dyDescent="0.2">
      <c r="C883" s="138"/>
      <c r="D883" s="138"/>
    </row>
    <row r="884" spans="3:4" x14ac:dyDescent="0.2">
      <c r="C884" s="138"/>
      <c r="D884" s="138"/>
    </row>
    <row r="885" spans="3:4" x14ac:dyDescent="0.2">
      <c r="C885" s="138"/>
      <c r="D885" s="138"/>
    </row>
    <row r="886" spans="3:4" x14ac:dyDescent="0.2">
      <c r="C886" s="138"/>
      <c r="D886" s="138"/>
    </row>
    <row r="887" spans="3:4" x14ac:dyDescent="0.2">
      <c r="C887" s="138"/>
      <c r="D887" s="138"/>
    </row>
    <row r="888" spans="3:4" x14ac:dyDescent="0.2">
      <c r="C888" s="138"/>
      <c r="D888" s="138"/>
    </row>
    <row r="889" spans="3:4" x14ac:dyDescent="0.2">
      <c r="C889" s="138"/>
      <c r="D889" s="138"/>
    </row>
    <row r="890" spans="3:4" x14ac:dyDescent="0.2">
      <c r="C890" s="138"/>
      <c r="D890" s="138"/>
    </row>
    <row r="891" spans="3:4" x14ac:dyDescent="0.2">
      <c r="C891" s="138"/>
      <c r="D891" s="138"/>
    </row>
    <row r="892" spans="3:4" x14ac:dyDescent="0.2">
      <c r="C892" s="138"/>
      <c r="D892" s="138"/>
    </row>
    <row r="893" spans="3:4" x14ac:dyDescent="0.2">
      <c r="C893" s="138"/>
      <c r="D893" s="138"/>
    </row>
    <row r="894" spans="3:4" x14ac:dyDescent="0.2">
      <c r="C894" s="138"/>
      <c r="D894" s="138"/>
    </row>
    <row r="895" spans="3:4" x14ac:dyDescent="0.2">
      <c r="C895" s="138"/>
      <c r="D895" s="138"/>
    </row>
    <row r="896" spans="3:4" x14ac:dyDescent="0.2">
      <c r="C896" s="138"/>
      <c r="D896" s="138"/>
    </row>
    <row r="897" spans="3:4" x14ac:dyDescent="0.2">
      <c r="C897" s="138"/>
      <c r="D897" s="138"/>
    </row>
    <row r="898" spans="3:4" x14ac:dyDescent="0.2">
      <c r="C898" s="138"/>
      <c r="D898" s="138"/>
    </row>
    <row r="899" spans="3:4" x14ac:dyDescent="0.2">
      <c r="C899" s="138"/>
      <c r="D899" s="138"/>
    </row>
    <row r="900" spans="3:4" x14ac:dyDescent="0.2">
      <c r="C900" s="138"/>
      <c r="D900" s="138"/>
    </row>
    <row r="901" spans="3:4" x14ac:dyDescent="0.2">
      <c r="C901" s="138"/>
      <c r="D901" s="138"/>
    </row>
    <row r="902" spans="3:4" x14ac:dyDescent="0.2">
      <c r="C902" s="138"/>
      <c r="D902" s="138"/>
    </row>
    <row r="903" spans="3:4" x14ac:dyDescent="0.2">
      <c r="C903" s="138"/>
      <c r="D903" s="138"/>
    </row>
    <row r="904" spans="3:4" x14ac:dyDescent="0.2">
      <c r="C904" s="138"/>
      <c r="D904" s="138"/>
    </row>
    <row r="905" spans="3:4" x14ac:dyDescent="0.2">
      <c r="C905" s="138"/>
      <c r="D905" s="138"/>
    </row>
    <row r="906" spans="3:4" x14ac:dyDescent="0.2">
      <c r="C906" s="138"/>
      <c r="D906" s="138"/>
    </row>
    <row r="907" spans="3:4" x14ac:dyDescent="0.2">
      <c r="C907" s="138"/>
      <c r="D907" s="138"/>
    </row>
    <row r="908" spans="3:4" x14ac:dyDescent="0.2">
      <c r="C908" s="138"/>
      <c r="D908" s="138"/>
    </row>
    <row r="909" spans="3:4" x14ac:dyDescent="0.2">
      <c r="C909" s="138"/>
      <c r="D909" s="138"/>
    </row>
    <row r="910" spans="3:4" x14ac:dyDescent="0.2">
      <c r="C910" s="138"/>
      <c r="D910" s="138"/>
    </row>
    <row r="911" spans="3:4" x14ac:dyDescent="0.2">
      <c r="C911" s="138"/>
      <c r="D911" s="138"/>
    </row>
    <row r="912" spans="3:4" x14ac:dyDescent="0.2">
      <c r="C912" s="138"/>
      <c r="D912" s="138"/>
    </row>
    <row r="913" spans="3:4" x14ac:dyDescent="0.2">
      <c r="C913" s="138"/>
      <c r="D913" s="138"/>
    </row>
    <row r="914" spans="3:4" x14ac:dyDescent="0.2">
      <c r="C914" s="138"/>
      <c r="D914" s="138"/>
    </row>
    <row r="915" spans="3:4" x14ac:dyDescent="0.2">
      <c r="C915" s="138"/>
      <c r="D915" s="138"/>
    </row>
    <row r="916" spans="3:4" x14ac:dyDescent="0.2">
      <c r="C916" s="138"/>
      <c r="D916" s="138"/>
    </row>
    <row r="917" spans="3:4" x14ac:dyDescent="0.2">
      <c r="C917" s="138"/>
      <c r="D917" s="138"/>
    </row>
    <row r="918" spans="3:4" x14ac:dyDescent="0.2">
      <c r="C918" s="138"/>
      <c r="D918" s="138"/>
    </row>
    <row r="919" spans="3:4" x14ac:dyDescent="0.2">
      <c r="C919" s="138"/>
      <c r="D919" s="138"/>
    </row>
    <row r="920" spans="3:4" x14ac:dyDescent="0.2">
      <c r="C920" s="138"/>
      <c r="D920" s="138"/>
    </row>
    <row r="921" spans="3:4" x14ac:dyDescent="0.2">
      <c r="C921" s="138"/>
      <c r="D921" s="138"/>
    </row>
    <row r="922" spans="3:4" x14ac:dyDescent="0.2">
      <c r="C922" s="138"/>
      <c r="D922" s="138"/>
    </row>
    <row r="923" spans="3:4" x14ac:dyDescent="0.2">
      <c r="C923" s="138"/>
      <c r="D923" s="138"/>
    </row>
    <row r="924" spans="3:4" x14ac:dyDescent="0.2">
      <c r="C924" s="138"/>
      <c r="D924" s="138"/>
    </row>
    <row r="925" spans="3:4" x14ac:dyDescent="0.2">
      <c r="C925" s="138"/>
      <c r="D925" s="138"/>
    </row>
    <row r="926" spans="3:4" x14ac:dyDescent="0.2">
      <c r="C926" s="138"/>
      <c r="D926" s="138"/>
    </row>
    <row r="927" spans="3:4" x14ac:dyDescent="0.2">
      <c r="C927" s="138"/>
      <c r="D927" s="138"/>
    </row>
    <row r="928" spans="3:4" x14ac:dyDescent="0.2">
      <c r="C928" s="138"/>
      <c r="D928" s="138"/>
    </row>
    <row r="929" spans="3:4" x14ac:dyDescent="0.2">
      <c r="C929" s="138"/>
      <c r="D929" s="138"/>
    </row>
    <row r="930" spans="3:4" x14ac:dyDescent="0.2">
      <c r="C930" s="138"/>
      <c r="D930" s="138"/>
    </row>
    <row r="931" spans="3:4" x14ac:dyDescent="0.2">
      <c r="C931" s="138"/>
      <c r="D931" s="138"/>
    </row>
    <row r="932" spans="3:4" x14ac:dyDescent="0.2">
      <c r="C932" s="138"/>
      <c r="D932" s="138"/>
    </row>
    <row r="933" spans="3:4" x14ac:dyDescent="0.2">
      <c r="C933" s="138"/>
      <c r="D933" s="138"/>
    </row>
    <row r="934" spans="3:4" x14ac:dyDescent="0.2">
      <c r="C934" s="138"/>
      <c r="D934" s="138"/>
    </row>
    <row r="935" spans="3:4" x14ac:dyDescent="0.2">
      <c r="C935" s="138"/>
      <c r="D935" s="138"/>
    </row>
    <row r="936" spans="3:4" x14ac:dyDescent="0.2">
      <c r="C936" s="138"/>
      <c r="D936" s="138"/>
    </row>
    <row r="937" spans="3:4" x14ac:dyDescent="0.2">
      <c r="C937" s="138"/>
      <c r="D937" s="138"/>
    </row>
    <row r="938" spans="3:4" x14ac:dyDescent="0.2">
      <c r="C938" s="138"/>
      <c r="D938" s="138"/>
    </row>
    <row r="939" spans="3:4" x14ac:dyDescent="0.2">
      <c r="C939" s="138"/>
      <c r="D939" s="138"/>
    </row>
    <row r="940" spans="3:4" x14ac:dyDescent="0.2">
      <c r="C940" s="138"/>
      <c r="D940" s="138"/>
    </row>
    <row r="941" spans="3:4" x14ac:dyDescent="0.2">
      <c r="C941" s="138"/>
      <c r="D941" s="138"/>
    </row>
    <row r="942" spans="3:4" x14ac:dyDescent="0.2">
      <c r="C942" s="138"/>
      <c r="D942" s="138"/>
    </row>
    <row r="943" spans="3:4" x14ac:dyDescent="0.2">
      <c r="C943" s="138"/>
      <c r="D943" s="138"/>
    </row>
    <row r="944" spans="3:4" x14ac:dyDescent="0.2">
      <c r="C944" s="138"/>
      <c r="D944" s="138"/>
    </row>
    <row r="945" spans="3:4" x14ac:dyDescent="0.2">
      <c r="C945" s="138"/>
      <c r="D945" s="138"/>
    </row>
    <row r="946" spans="3:4" x14ac:dyDescent="0.2">
      <c r="C946" s="138"/>
      <c r="D946" s="138"/>
    </row>
    <row r="947" spans="3:4" x14ac:dyDescent="0.2">
      <c r="C947" s="138"/>
      <c r="D947" s="138"/>
    </row>
    <row r="948" spans="3:4" x14ac:dyDescent="0.2">
      <c r="C948" s="138"/>
      <c r="D948" s="138"/>
    </row>
    <row r="949" spans="3:4" x14ac:dyDescent="0.2">
      <c r="C949" s="138"/>
      <c r="D949" s="138"/>
    </row>
    <row r="950" spans="3:4" x14ac:dyDescent="0.2">
      <c r="C950" s="138"/>
      <c r="D950" s="138"/>
    </row>
    <row r="951" spans="3:4" x14ac:dyDescent="0.2">
      <c r="C951" s="138"/>
      <c r="D951" s="138"/>
    </row>
    <row r="952" spans="3:4" x14ac:dyDescent="0.2">
      <c r="C952" s="138"/>
      <c r="D952" s="138"/>
    </row>
    <row r="953" spans="3:4" x14ac:dyDescent="0.2">
      <c r="C953" s="138"/>
      <c r="D953" s="138"/>
    </row>
    <row r="954" spans="3:4" x14ac:dyDescent="0.2">
      <c r="C954" s="138"/>
      <c r="D954" s="138"/>
    </row>
    <row r="955" spans="3:4" x14ac:dyDescent="0.2">
      <c r="C955" s="138"/>
      <c r="D955" s="138"/>
    </row>
    <row r="956" spans="3:4" x14ac:dyDescent="0.2">
      <c r="C956" s="138"/>
      <c r="D956" s="138"/>
    </row>
    <row r="957" spans="3:4" x14ac:dyDescent="0.2">
      <c r="C957" s="138"/>
      <c r="D957" s="138"/>
    </row>
    <row r="958" spans="3:4" x14ac:dyDescent="0.2">
      <c r="C958" s="138"/>
      <c r="D958" s="138"/>
    </row>
    <row r="959" spans="3:4" x14ac:dyDescent="0.2">
      <c r="C959" s="138"/>
      <c r="D959" s="138"/>
    </row>
    <row r="960" spans="3:4" x14ac:dyDescent="0.2">
      <c r="C960" s="138"/>
      <c r="D960" s="138"/>
    </row>
    <row r="961" spans="3:4" x14ac:dyDescent="0.2">
      <c r="C961" s="138"/>
      <c r="D961" s="138"/>
    </row>
    <row r="962" spans="3:4" x14ac:dyDescent="0.2">
      <c r="C962" s="138"/>
      <c r="D962" s="138"/>
    </row>
    <row r="963" spans="3:4" x14ac:dyDescent="0.2">
      <c r="C963" s="138"/>
      <c r="D963" s="138"/>
    </row>
    <row r="964" spans="3:4" x14ac:dyDescent="0.2">
      <c r="C964" s="138"/>
      <c r="D964" s="138"/>
    </row>
    <row r="965" spans="3:4" x14ac:dyDescent="0.2">
      <c r="C965" s="138"/>
      <c r="D965" s="138"/>
    </row>
    <row r="966" spans="3:4" x14ac:dyDescent="0.2">
      <c r="C966" s="138"/>
      <c r="D966" s="138"/>
    </row>
    <row r="967" spans="3:4" x14ac:dyDescent="0.2">
      <c r="C967" s="138"/>
      <c r="D967" s="138"/>
    </row>
    <row r="968" spans="3:4" x14ac:dyDescent="0.2">
      <c r="C968" s="138"/>
      <c r="D968" s="138"/>
    </row>
    <row r="969" spans="3:4" x14ac:dyDescent="0.2">
      <c r="C969" s="138"/>
      <c r="D969" s="138"/>
    </row>
    <row r="970" spans="3:4" x14ac:dyDescent="0.2">
      <c r="C970" s="138"/>
      <c r="D970" s="138"/>
    </row>
    <row r="971" spans="3:4" x14ac:dyDescent="0.2">
      <c r="C971" s="138"/>
      <c r="D971" s="138"/>
    </row>
    <row r="972" spans="3:4" x14ac:dyDescent="0.2">
      <c r="C972" s="138"/>
      <c r="D972" s="138"/>
    </row>
    <row r="973" spans="3:4" x14ac:dyDescent="0.2">
      <c r="C973" s="138"/>
      <c r="D973" s="138"/>
    </row>
    <row r="974" spans="3:4" x14ac:dyDescent="0.2">
      <c r="C974" s="138"/>
      <c r="D974" s="138"/>
    </row>
    <row r="975" spans="3:4" x14ac:dyDescent="0.2">
      <c r="C975" s="138"/>
      <c r="D975" s="138"/>
    </row>
    <row r="976" spans="3:4" x14ac:dyDescent="0.2">
      <c r="C976" s="138"/>
      <c r="D976" s="138"/>
    </row>
    <row r="977" spans="3:4" x14ac:dyDescent="0.2">
      <c r="C977" s="138"/>
      <c r="D977" s="138"/>
    </row>
    <row r="978" spans="3:4" x14ac:dyDescent="0.2">
      <c r="C978" s="138"/>
      <c r="D978" s="138"/>
    </row>
    <row r="979" spans="3:4" x14ac:dyDescent="0.2">
      <c r="C979" s="138"/>
      <c r="D979" s="138"/>
    </row>
    <row r="980" spans="3:4" x14ac:dyDescent="0.2">
      <c r="C980" s="138"/>
      <c r="D980" s="138"/>
    </row>
    <row r="981" spans="3:4" x14ac:dyDescent="0.2">
      <c r="C981" s="138"/>
      <c r="D981" s="138"/>
    </row>
    <row r="982" spans="3:4" x14ac:dyDescent="0.2">
      <c r="C982" s="138"/>
      <c r="D982" s="138"/>
    </row>
    <row r="983" spans="3:4" x14ac:dyDescent="0.2">
      <c r="C983" s="138"/>
      <c r="D983" s="138"/>
    </row>
    <row r="984" spans="3:4" x14ac:dyDescent="0.2">
      <c r="C984" s="138"/>
      <c r="D984" s="138"/>
    </row>
    <row r="985" spans="3:4" x14ac:dyDescent="0.2">
      <c r="C985" s="138"/>
      <c r="D985" s="138"/>
    </row>
    <row r="986" spans="3:4" x14ac:dyDescent="0.2">
      <c r="C986" s="138"/>
      <c r="D986" s="138"/>
    </row>
    <row r="987" spans="3:4" x14ac:dyDescent="0.2">
      <c r="C987" s="138"/>
      <c r="D987" s="138"/>
    </row>
    <row r="988" spans="3:4" x14ac:dyDescent="0.2">
      <c r="C988" s="138"/>
      <c r="D988" s="138"/>
    </row>
    <row r="989" spans="3:4" x14ac:dyDescent="0.2">
      <c r="C989" s="138"/>
      <c r="D989" s="138"/>
    </row>
    <row r="990" spans="3:4" x14ac:dyDescent="0.2">
      <c r="C990" s="138"/>
      <c r="D990" s="138"/>
    </row>
    <row r="991" spans="3:4" x14ac:dyDescent="0.2">
      <c r="C991" s="138"/>
      <c r="D991" s="138"/>
    </row>
    <row r="992" spans="3:4" x14ac:dyDescent="0.2">
      <c r="C992" s="138"/>
      <c r="D992" s="138"/>
    </row>
    <row r="993" spans="3:4" x14ac:dyDescent="0.2">
      <c r="C993" s="138"/>
      <c r="D993" s="138"/>
    </row>
    <row r="994" spans="3:4" x14ac:dyDescent="0.2">
      <c r="C994" s="138"/>
      <c r="D994" s="138"/>
    </row>
    <row r="995" spans="3:4" x14ac:dyDescent="0.2">
      <c r="C995" s="138"/>
      <c r="D995" s="138"/>
    </row>
    <row r="996" spans="3:4" x14ac:dyDescent="0.2">
      <c r="C996" s="138"/>
      <c r="D996" s="138"/>
    </row>
    <row r="997" spans="3:4" x14ac:dyDescent="0.2">
      <c r="C997" s="138"/>
      <c r="D997" s="138"/>
    </row>
    <row r="998" spans="3:4" x14ac:dyDescent="0.2">
      <c r="C998" s="138"/>
      <c r="D998" s="138"/>
    </row>
    <row r="999" spans="3:4" x14ac:dyDescent="0.2">
      <c r="C999" s="138"/>
      <c r="D999" s="138"/>
    </row>
    <row r="1000" spans="3:4" x14ac:dyDescent="0.2">
      <c r="C1000" s="138"/>
      <c r="D1000" s="138"/>
    </row>
    <row r="1001" spans="3:4" x14ac:dyDescent="0.2">
      <c r="C1001" s="138"/>
      <c r="D1001" s="138"/>
    </row>
    <row r="1002" spans="3:4" x14ac:dyDescent="0.2">
      <c r="C1002" s="138"/>
      <c r="D1002" s="138"/>
    </row>
    <row r="1003" spans="3:4" x14ac:dyDescent="0.2">
      <c r="C1003" s="138"/>
      <c r="D1003" s="138"/>
    </row>
    <row r="1004" spans="3:4" x14ac:dyDescent="0.2">
      <c r="C1004" s="138"/>
      <c r="D1004" s="138"/>
    </row>
    <row r="1005" spans="3:4" x14ac:dyDescent="0.2">
      <c r="C1005" s="138"/>
      <c r="D1005" s="138"/>
    </row>
    <row r="1006" spans="3:4" x14ac:dyDescent="0.2">
      <c r="C1006" s="138"/>
      <c r="D1006" s="138"/>
    </row>
    <row r="1007" spans="3:4" x14ac:dyDescent="0.2">
      <c r="C1007" s="138"/>
      <c r="D1007" s="138"/>
    </row>
  </sheetData>
  <mergeCells count="6">
    <mergeCell ref="E2:F2"/>
    <mergeCell ref="C2:D2"/>
    <mergeCell ref="B2:B3"/>
    <mergeCell ref="B52:B53"/>
    <mergeCell ref="C52:D52"/>
    <mergeCell ref="E52:F52"/>
  </mergeCells>
  <pageMargins left="0.75" right="0.3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D78"/>
  <sheetViews>
    <sheetView topLeftCell="A7" workbookViewId="0">
      <selection activeCell="D40" sqref="D40"/>
    </sheetView>
  </sheetViews>
  <sheetFormatPr defaultRowHeight="12.75" x14ac:dyDescent="0.2"/>
  <cols>
    <col min="1" max="1" width="9.140625" style="170"/>
    <col min="2" max="2" width="77.42578125" style="136" customWidth="1"/>
    <col min="3" max="4" width="14.7109375" style="171" customWidth="1"/>
    <col min="5" max="16384" width="9.140625" style="170"/>
  </cols>
  <sheetData>
    <row r="1" spans="2:4" ht="17.100000000000001" customHeight="1" thickBot="1" x14ac:dyDescent="0.25">
      <c r="B1" s="183"/>
      <c r="C1" s="940" t="s">
        <v>107</v>
      </c>
      <c r="D1" s="941"/>
    </row>
    <row r="2" spans="2:4" s="188" customFormat="1" ht="17.100000000000001" customHeight="1" x14ac:dyDescent="0.2">
      <c r="B2" s="183"/>
      <c r="C2" s="182">
        <v>2016</v>
      </c>
      <c r="D2" s="181">
        <v>2015</v>
      </c>
    </row>
    <row r="3" spans="2:4" s="188" customFormat="1" ht="24.95" customHeight="1" thickBot="1" x14ac:dyDescent="0.25">
      <c r="B3" s="197" t="s">
        <v>124</v>
      </c>
      <c r="C3" s="196">
        <v>1061</v>
      </c>
      <c r="D3" s="195">
        <v>5008</v>
      </c>
    </row>
    <row r="4" spans="2:4" s="188" customFormat="1" ht="24.95" customHeight="1" thickBot="1" x14ac:dyDescent="0.25">
      <c r="B4" s="192" t="s">
        <v>123</v>
      </c>
      <c r="C4" s="179">
        <v>-2968</v>
      </c>
      <c r="D4" s="178">
        <v>-3947</v>
      </c>
    </row>
    <row r="5" spans="2:4" s="188" customFormat="1" ht="21.75" thickBot="1" x14ac:dyDescent="0.25">
      <c r="B5" s="189" t="s">
        <v>122</v>
      </c>
      <c r="C5" s="173">
        <f>SUM(C3:C4)</f>
        <v>-1907</v>
      </c>
      <c r="D5" s="173">
        <f>SUM(D3:D4)</f>
        <v>1061</v>
      </c>
    </row>
    <row r="6" spans="2:4" s="188" customFormat="1" ht="24.95" customHeight="1" thickBot="1" x14ac:dyDescent="0.25">
      <c r="B6" s="194" t="s">
        <v>121</v>
      </c>
      <c r="C6" s="193">
        <f>-C5*19/100</f>
        <v>362.33</v>
      </c>
      <c r="D6" s="193">
        <f>-D5*19/100</f>
        <v>-201.59</v>
      </c>
    </row>
    <row r="7" spans="2:4" s="188" customFormat="1" ht="21.75" thickBot="1" x14ac:dyDescent="0.25">
      <c r="B7" s="189" t="s">
        <v>120</v>
      </c>
      <c r="C7" s="173">
        <f>SUM(C5:C6)</f>
        <v>-1544.67</v>
      </c>
      <c r="D7" s="173">
        <f>SUM(D5:D6)</f>
        <v>859.41</v>
      </c>
    </row>
    <row r="8" spans="2:4" s="188" customFormat="1" ht="17.100000000000001" customHeight="1" x14ac:dyDescent="0.2">
      <c r="B8" s="191" t="s">
        <v>119</v>
      </c>
      <c r="C8" s="184">
        <f>C4</f>
        <v>-2968</v>
      </c>
      <c r="D8" s="184">
        <f>D4</f>
        <v>-3947</v>
      </c>
    </row>
    <row r="9" spans="2:4" s="188" customFormat="1" ht="17.100000000000001" customHeight="1" thickBot="1" x14ac:dyDescent="0.25">
      <c r="B9" s="191" t="s">
        <v>118</v>
      </c>
      <c r="C9" s="185">
        <v>564</v>
      </c>
      <c r="D9" s="184">
        <f>-D8*19/100</f>
        <v>749.93</v>
      </c>
    </row>
    <row r="10" spans="2:4" s="188" customFormat="1" ht="17.100000000000001" customHeight="1" thickBot="1" x14ac:dyDescent="0.25">
      <c r="B10" s="189" t="s">
        <v>117</v>
      </c>
      <c r="C10" s="173">
        <f>SUM(C8:C9)</f>
        <v>-2404</v>
      </c>
      <c r="D10" s="173">
        <f>SUM(D8:D9)</f>
        <v>-3197.07</v>
      </c>
    </row>
    <row r="11" spans="2:4" s="188" customFormat="1" ht="17.100000000000001" customHeight="1" thickBot="1" x14ac:dyDescent="0.25">
      <c r="B11" s="183"/>
      <c r="C11" s="940" t="s">
        <v>107</v>
      </c>
      <c r="D11" s="941"/>
    </row>
    <row r="12" spans="2:4" s="188" customFormat="1" ht="17.100000000000001" customHeight="1" thickBot="1" x14ac:dyDescent="0.25">
      <c r="B12" s="183"/>
      <c r="C12" s="182">
        <v>2016</v>
      </c>
      <c r="D12" s="181">
        <v>2015</v>
      </c>
    </row>
    <row r="13" spans="2:4" s="188" customFormat="1" ht="17.100000000000001" customHeight="1" thickBot="1" x14ac:dyDescent="0.25">
      <c r="B13" s="938" t="s">
        <v>116</v>
      </c>
      <c r="C13" s="939"/>
      <c r="D13" s="939"/>
    </row>
    <row r="14" spans="2:4" s="188" customFormat="1" ht="17.100000000000001" customHeight="1" x14ac:dyDescent="0.2">
      <c r="B14" s="192" t="s">
        <v>115</v>
      </c>
      <c r="C14" s="179">
        <f>C4</f>
        <v>-2968</v>
      </c>
      <c r="D14" s="178">
        <v>-3947</v>
      </c>
    </row>
    <row r="15" spans="2:4" s="188" customFormat="1" ht="21" x14ac:dyDescent="0.2">
      <c r="B15" s="191" t="s">
        <v>114</v>
      </c>
      <c r="C15" s="185">
        <f>C30</f>
        <v>15874</v>
      </c>
      <c r="D15" s="184">
        <v>14140</v>
      </c>
    </row>
    <row r="16" spans="2:4" s="188" customFormat="1" ht="24.95" customHeight="1" thickBot="1" x14ac:dyDescent="0.25">
      <c r="B16" s="190" t="s">
        <v>113</v>
      </c>
      <c r="C16" s="176">
        <f>C31</f>
        <v>-17624</v>
      </c>
      <c r="D16" s="175">
        <v>-3607</v>
      </c>
    </row>
    <row r="17" spans="1:4" s="188" customFormat="1" ht="17.100000000000001" customHeight="1" thickBot="1" x14ac:dyDescent="0.25">
      <c r="B17" s="189" t="s">
        <v>112</v>
      </c>
      <c r="C17" s="173">
        <f>SUM(C14:C16)</f>
        <v>-4718</v>
      </c>
      <c r="D17" s="173">
        <f>SUM(D14:D16)</f>
        <v>6586</v>
      </c>
    </row>
    <row r="19" spans="1:4" x14ac:dyDescent="0.2">
      <c r="B19" s="140"/>
      <c r="C19" s="187"/>
      <c r="D19" s="187"/>
    </row>
    <row r="20" spans="1:4" ht="17.100000000000001" customHeight="1" thickBot="1" x14ac:dyDescent="0.25">
      <c r="B20" s="183"/>
      <c r="C20" s="940" t="s">
        <v>107</v>
      </c>
      <c r="D20" s="941"/>
    </row>
    <row r="21" spans="1:4" ht="17.100000000000001" customHeight="1" x14ac:dyDescent="0.2">
      <c r="A21" s="170" t="s">
        <v>106</v>
      </c>
      <c r="B21" s="183"/>
      <c r="C21" s="182">
        <v>2016</v>
      </c>
      <c r="D21" s="181">
        <v>2015</v>
      </c>
    </row>
    <row r="22" spans="1:4" ht="24.95" customHeight="1" x14ac:dyDescent="0.2">
      <c r="B22" s="180" t="s">
        <v>111</v>
      </c>
      <c r="C22" s="179">
        <f>'[1]Nota 6 Odsetki'!C10</f>
        <v>59936</v>
      </c>
      <c r="D22" s="178">
        <v>46618</v>
      </c>
    </row>
    <row r="23" spans="1:4" ht="17.100000000000001" customHeight="1" x14ac:dyDescent="0.2">
      <c r="B23" s="186" t="s">
        <v>110</v>
      </c>
      <c r="C23" s="185">
        <f>'[1]Nota 9 Handlowy'!C12</f>
        <v>-16903</v>
      </c>
      <c r="D23" s="184">
        <v>2954</v>
      </c>
    </row>
    <row r="24" spans="1:4" ht="17.100000000000001" customHeight="1" thickBot="1" x14ac:dyDescent="0.25">
      <c r="B24" s="177" t="s">
        <v>109</v>
      </c>
      <c r="C24" s="176">
        <f>'[1]Nota 9 Handlowy'!C13</f>
        <v>20098</v>
      </c>
      <c r="D24" s="175">
        <v>8463</v>
      </c>
    </row>
    <row r="25" spans="1:4" ht="24.95" customHeight="1" thickBot="1" x14ac:dyDescent="0.25">
      <c r="B25" s="9" t="s">
        <v>108</v>
      </c>
      <c r="C25" s="174">
        <f>SUM(C22:C24)</f>
        <v>63131</v>
      </c>
      <c r="D25" s="173">
        <f>SUM(D22:D24)</f>
        <v>58035</v>
      </c>
    </row>
    <row r="26" spans="1:4" x14ac:dyDescent="0.2">
      <c r="B26" s="135"/>
      <c r="C26" s="135"/>
      <c r="D26" s="135"/>
    </row>
    <row r="27" spans="1:4" x14ac:dyDescent="0.2">
      <c r="B27" s="135"/>
      <c r="C27" s="135"/>
      <c r="D27" s="135"/>
    </row>
    <row r="28" spans="1:4" ht="17.100000000000001" customHeight="1" thickBot="1" x14ac:dyDescent="0.25">
      <c r="B28" s="183"/>
      <c r="C28" s="940" t="s">
        <v>107</v>
      </c>
      <c r="D28" s="941"/>
    </row>
    <row r="29" spans="1:4" ht="17.100000000000001" customHeight="1" x14ac:dyDescent="0.2">
      <c r="A29" s="170" t="s">
        <v>106</v>
      </c>
      <c r="B29" s="183"/>
      <c r="C29" s="182">
        <v>2016</v>
      </c>
      <c r="D29" s="181">
        <v>2015</v>
      </c>
    </row>
    <row r="30" spans="1:4" ht="24.95" customHeight="1" x14ac:dyDescent="0.2">
      <c r="B30" s="180" t="s">
        <v>105</v>
      </c>
      <c r="C30" s="179">
        <f>'[1]Nota 6 Odsetki'!C11</f>
        <v>15874</v>
      </c>
      <c r="D30" s="178">
        <v>14140</v>
      </c>
    </row>
    <row r="31" spans="1:4" ht="17.100000000000001" customHeight="1" thickBot="1" x14ac:dyDescent="0.25">
      <c r="B31" s="177" t="s">
        <v>104</v>
      </c>
      <c r="C31" s="176">
        <f>'[1]Nota 9 Handlowy'!C14</f>
        <v>-17624</v>
      </c>
      <c r="D31" s="175">
        <v>-3607</v>
      </c>
    </row>
    <row r="32" spans="1:4" ht="24.95" customHeight="1" thickBot="1" x14ac:dyDescent="0.25">
      <c r="B32" s="9" t="s">
        <v>103</v>
      </c>
      <c r="C32" s="174">
        <f>SUM(C30:C31)</f>
        <v>-1750</v>
      </c>
      <c r="D32" s="173">
        <f>SUM(D30:D31)</f>
        <v>10533</v>
      </c>
    </row>
    <row r="33" spans="2:4" x14ac:dyDescent="0.2">
      <c r="B33" s="135"/>
      <c r="C33" s="135"/>
      <c r="D33" s="135"/>
    </row>
    <row r="34" spans="2:4" x14ac:dyDescent="0.2">
      <c r="B34" s="135"/>
      <c r="C34" s="135"/>
      <c r="D34" s="135"/>
    </row>
    <row r="35" spans="2:4" x14ac:dyDescent="0.2">
      <c r="B35" s="135"/>
      <c r="C35" s="135"/>
      <c r="D35" s="135"/>
    </row>
    <row r="36" spans="2:4" x14ac:dyDescent="0.2">
      <c r="B36" s="135"/>
      <c r="C36" s="135"/>
      <c r="D36" s="135"/>
    </row>
    <row r="37" spans="2:4" x14ac:dyDescent="0.2">
      <c r="B37" s="135"/>
      <c r="C37" s="135"/>
      <c r="D37" s="135"/>
    </row>
    <row r="38" spans="2:4" x14ac:dyDescent="0.2">
      <c r="B38" s="135"/>
      <c r="C38" s="135"/>
      <c r="D38" s="135"/>
    </row>
    <row r="39" spans="2:4" x14ac:dyDescent="0.2">
      <c r="B39" s="135"/>
      <c r="C39" s="135"/>
      <c r="D39" s="135"/>
    </row>
    <row r="40" spans="2:4" x14ac:dyDescent="0.2">
      <c r="B40" s="135"/>
      <c r="C40" s="135"/>
      <c r="D40" s="135"/>
    </row>
    <row r="41" spans="2:4" x14ac:dyDescent="0.2">
      <c r="B41" s="135"/>
      <c r="C41" s="135"/>
      <c r="D41" s="135"/>
    </row>
    <row r="42" spans="2:4" x14ac:dyDescent="0.2">
      <c r="B42" s="135"/>
      <c r="C42" s="135"/>
      <c r="D42" s="135"/>
    </row>
    <row r="43" spans="2:4" x14ac:dyDescent="0.2">
      <c r="B43" s="135"/>
      <c r="C43" s="135"/>
      <c r="D43" s="135"/>
    </row>
    <row r="44" spans="2:4" x14ac:dyDescent="0.2">
      <c r="B44" s="135"/>
      <c r="C44" s="135"/>
      <c r="D44" s="135"/>
    </row>
    <row r="45" spans="2:4" x14ac:dyDescent="0.2">
      <c r="B45" s="135"/>
      <c r="C45" s="135"/>
      <c r="D45" s="135"/>
    </row>
    <row r="46" spans="2:4" x14ac:dyDescent="0.2">
      <c r="B46" s="135"/>
      <c r="C46" s="135"/>
      <c r="D46" s="135"/>
    </row>
    <row r="47" spans="2:4" x14ac:dyDescent="0.2">
      <c r="B47" s="135"/>
      <c r="C47" s="135"/>
      <c r="D47" s="135"/>
    </row>
    <row r="48" spans="2:4" x14ac:dyDescent="0.2">
      <c r="B48" s="135"/>
      <c r="C48" s="135"/>
      <c r="D48" s="135"/>
    </row>
    <row r="49" spans="2:4" x14ac:dyDescent="0.2">
      <c r="B49" s="135"/>
      <c r="C49" s="135"/>
      <c r="D49" s="135"/>
    </row>
    <row r="50" spans="2:4" x14ac:dyDescent="0.2">
      <c r="B50" s="135"/>
      <c r="C50" s="135"/>
      <c r="D50" s="135"/>
    </row>
    <row r="51" spans="2:4" x14ac:dyDescent="0.2">
      <c r="B51" s="172"/>
    </row>
    <row r="52" spans="2:4" x14ac:dyDescent="0.2">
      <c r="B52" s="172"/>
    </row>
    <row r="53" spans="2:4" x14ac:dyDescent="0.2">
      <c r="B53" s="172"/>
    </row>
    <row r="54" spans="2:4" x14ac:dyDescent="0.2">
      <c r="B54" s="172"/>
    </row>
    <row r="55" spans="2:4" x14ac:dyDescent="0.2">
      <c r="B55" s="172"/>
    </row>
    <row r="56" spans="2:4" x14ac:dyDescent="0.2">
      <c r="B56" s="172"/>
    </row>
    <row r="57" spans="2:4" x14ac:dyDescent="0.2">
      <c r="B57" s="172"/>
    </row>
    <row r="58" spans="2:4" x14ac:dyDescent="0.2">
      <c r="B58" s="172"/>
    </row>
    <row r="59" spans="2:4" x14ac:dyDescent="0.2">
      <c r="B59" s="172"/>
      <c r="C59" s="170"/>
      <c r="D59" s="170"/>
    </row>
    <row r="60" spans="2:4" x14ac:dyDescent="0.2">
      <c r="B60" s="172"/>
      <c r="C60" s="170"/>
      <c r="D60" s="170"/>
    </row>
    <row r="61" spans="2:4" x14ac:dyDescent="0.2">
      <c r="B61" s="172"/>
      <c r="C61" s="170"/>
      <c r="D61" s="170"/>
    </row>
    <row r="62" spans="2:4" x14ac:dyDescent="0.2">
      <c r="B62" s="172"/>
      <c r="C62" s="170"/>
      <c r="D62" s="170"/>
    </row>
    <row r="63" spans="2:4" x14ac:dyDescent="0.2">
      <c r="B63" s="172"/>
      <c r="C63" s="170"/>
      <c r="D63" s="170"/>
    </row>
    <row r="64" spans="2:4" x14ac:dyDescent="0.2">
      <c r="B64" s="172"/>
      <c r="C64" s="170"/>
      <c r="D64" s="170"/>
    </row>
    <row r="65" spans="2:4" x14ac:dyDescent="0.2">
      <c r="B65" s="172"/>
      <c r="C65" s="170"/>
      <c r="D65" s="170"/>
    </row>
    <row r="66" spans="2:4" x14ac:dyDescent="0.2">
      <c r="B66" s="172"/>
      <c r="C66" s="170"/>
      <c r="D66" s="170"/>
    </row>
    <row r="67" spans="2:4" x14ac:dyDescent="0.2">
      <c r="B67" s="172"/>
      <c r="C67" s="170"/>
      <c r="D67" s="170"/>
    </row>
    <row r="68" spans="2:4" x14ac:dyDescent="0.2">
      <c r="B68" s="172"/>
      <c r="C68" s="170"/>
      <c r="D68" s="170"/>
    </row>
    <row r="69" spans="2:4" x14ac:dyDescent="0.2">
      <c r="B69" s="172"/>
      <c r="C69" s="170"/>
      <c r="D69" s="170"/>
    </row>
    <row r="70" spans="2:4" x14ac:dyDescent="0.2">
      <c r="B70" s="172"/>
      <c r="C70" s="170"/>
      <c r="D70" s="170"/>
    </row>
    <row r="71" spans="2:4" x14ac:dyDescent="0.2">
      <c r="B71" s="172"/>
      <c r="C71" s="170"/>
      <c r="D71" s="170"/>
    </row>
    <row r="72" spans="2:4" x14ac:dyDescent="0.2">
      <c r="B72" s="172"/>
      <c r="C72" s="170"/>
      <c r="D72" s="170"/>
    </row>
    <row r="73" spans="2:4" x14ac:dyDescent="0.2">
      <c r="B73" s="172"/>
      <c r="C73" s="170"/>
      <c r="D73" s="170"/>
    </row>
    <row r="74" spans="2:4" x14ac:dyDescent="0.2">
      <c r="B74" s="172"/>
      <c r="C74" s="170"/>
      <c r="D74" s="170"/>
    </row>
    <row r="75" spans="2:4" x14ac:dyDescent="0.2">
      <c r="B75" s="172"/>
      <c r="C75" s="170"/>
      <c r="D75" s="170"/>
    </row>
    <row r="76" spans="2:4" x14ac:dyDescent="0.2">
      <c r="B76" s="172"/>
      <c r="C76" s="170"/>
      <c r="D76" s="170"/>
    </row>
    <row r="77" spans="2:4" x14ac:dyDescent="0.2">
      <c r="B77" s="172"/>
      <c r="C77" s="170"/>
      <c r="D77" s="170"/>
    </row>
    <row r="78" spans="2:4" x14ac:dyDescent="0.2">
      <c r="B78" s="172"/>
      <c r="C78" s="170"/>
      <c r="D78" s="170"/>
    </row>
  </sheetData>
  <mergeCells count="5">
    <mergeCell ref="B13:D13"/>
    <mergeCell ref="C1:D1"/>
    <mergeCell ref="C11:D11"/>
    <mergeCell ref="C20:D20"/>
    <mergeCell ref="C28:D2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C10"/>
  <sheetViews>
    <sheetView workbookViewId="0">
      <selection activeCell="D40" sqref="D40"/>
    </sheetView>
  </sheetViews>
  <sheetFormatPr defaultRowHeight="14.25" x14ac:dyDescent="0.3"/>
  <cols>
    <col min="1" max="1" width="35.7109375" style="200" customWidth="1"/>
    <col min="2" max="3" width="35.7109375" style="199" customWidth="1"/>
    <col min="4" max="16384" width="9.140625" style="198"/>
  </cols>
  <sheetData>
    <row r="2" spans="1:3" ht="27" customHeight="1" x14ac:dyDescent="0.2">
      <c r="A2" s="942" t="s">
        <v>128</v>
      </c>
      <c r="B2" s="943"/>
      <c r="C2" s="943"/>
    </row>
    <row r="3" spans="1:3" ht="15.95" customHeight="1" thickBot="1" x14ac:dyDescent="0.25">
      <c r="A3" s="207" t="s">
        <v>127</v>
      </c>
      <c r="B3" s="206" t="s">
        <v>126</v>
      </c>
      <c r="C3" s="205" t="s">
        <v>125</v>
      </c>
    </row>
    <row r="4" spans="1:3" ht="15.95" customHeight="1" thickBot="1" x14ac:dyDescent="0.25">
      <c r="A4" s="204">
        <v>10631</v>
      </c>
      <c r="B4" s="203">
        <v>16492</v>
      </c>
      <c r="C4" s="202">
        <v>48498</v>
      </c>
    </row>
    <row r="5" spans="1:3" x14ac:dyDescent="0.3">
      <c r="A5" s="209"/>
      <c r="B5" s="208"/>
      <c r="C5" s="208"/>
    </row>
    <row r="6" spans="1:3" x14ac:dyDescent="0.3">
      <c r="B6" s="201"/>
      <c r="C6" s="201"/>
    </row>
    <row r="7" spans="1:3" ht="27" customHeight="1" x14ac:dyDescent="0.2">
      <c r="A7" s="942" t="s">
        <v>128</v>
      </c>
      <c r="B7" s="943"/>
      <c r="C7" s="943"/>
    </row>
    <row r="8" spans="1:3" ht="15.95" customHeight="1" thickBot="1" x14ac:dyDescent="0.25">
      <c r="A8" s="207" t="s">
        <v>127</v>
      </c>
      <c r="B8" s="206" t="s">
        <v>126</v>
      </c>
      <c r="C8" s="205" t="s">
        <v>125</v>
      </c>
    </row>
    <row r="9" spans="1:3" ht="15.95" customHeight="1" thickBot="1" x14ac:dyDescent="0.25">
      <c r="A9" s="204">
        <v>10294</v>
      </c>
      <c r="B9" s="203">
        <v>26890</v>
      </c>
      <c r="C9" s="202">
        <v>19604</v>
      </c>
    </row>
    <row r="10" spans="1:3" x14ac:dyDescent="0.3">
      <c r="B10" s="201"/>
      <c r="C10" s="201"/>
    </row>
  </sheetData>
  <mergeCells count="2">
    <mergeCell ref="A2:C2"/>
    <mergeCell ref="A7:C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F53"/>
  <sheetViews>
    <sheetView topLeftCell="A29" workbookViewId="0">
      <selection activeCell="C8" sqref="C8"/>
    </sheetView>
  </sheetViews>
  <sheetFormatPr defaultRowHeight="10.5" x14ac:dyDescent="0.2"/>
  <cols>
    <col min="1" max="1" width="2.28515625" style="3" customWidth="1"/>
    <col min="2" max="2" width="59.7109375" style="23" customWidth="1"/>
    <col min="3" max="4" width="15.7109375" style="23" customWidth="1"/>
    <col min="5" max="5" width="12.28515625" style="210" customWidth="1"/>
    <col min="6" max="6" width="11.85546875" style="22" customWidth="1"/>
    <col min="7" max="16384" width="9.140625" style="22"/>
  </cols>
  <sheetData>
    <row r="2" spans="2:6" ht="17.100000000000001" customHeight="1" thickBot="1" x14ac:dyDescent="0.25">
      <c r="B2" s="21"/>
      <c r="C2" s="20" t="s">
        <v>5</v>
      </c>
      <c r="D2" s="19" t="s">
        <v>4</v>
      </c>
    </row>
    <row r="3" spans="2:6" ht="17.100000000000001" customHeight="1" thickBot="1" x14ac:dyDescent="0.25">
      <c r="B3" s="9" t="s">
        <v>160</v>
      </c>
      <c r="C3" s="216">
        <f>C4+C5+C7</f>
        <v>48949829</v>
      </c>
      <c r="D3" s="211">
        <f>SUM(D4:D5,D7)</f>
        <v>46258683</v>
      </c>
      <c r="E3" s="250"/>
      <c r="F3" s="33"/>
    </row>
    <row r="4" spans="2:6" ht="17.100000000000001" customHeight="1" x14ac:dyDescent="0.2">
      <c r="B4" s="180" t="s">
        <v>155</v>
      </c>
      <c r="C4" s="252">
        <v>6458369</v>
      </c>
      <c r="D4" s="251">
        <v>5897129</v>
      </c>
    </row>
    <row r="5" spans="2:6" ht="17.100000000000001" customHeight="1" x14ac:dyDescent="0.2">
      <c r="B5" s="186" t="s">
        <v>159</v>
      </c>
      <c r="C5" s="247">
        <v>42491460</v>
      </c>
      <c r="D5" s="246">
        <v>40361554</v>
      </c>
    </row>
    <row r="6" spans="2:6" ht="17.100000000000001" customHeight="1" thickBot="1" x14ac:dyDescent="0.25">
      <c r="B6" s="186" t="s">
        <v>158</v>
      </c>
      <c r="C6" s="247">
        <v>35369113</v>
      </c>
      <c r="D6" s="246">
        <v>34184208</v>
      </c>
    </row>
    <row r="7" spans="2:6" ht="17.100000000000001" hidden="1" customHeight="1" thickBot="1" x14ac:dyDescent="0.25">
      <c r="B7" s="186" t="s">
        <v>157</v>
      </c>
      <c r="C7" s="247">
        <v>0</v>
      </c>
      <c r="D7" s="246">
        <v>0</v>
      </c>
    </row>
    <row r="8" spans="2:6" ht="17.100000000000001" customHeight="1" thickBot="1" x14ac:dyDescent="0.25">
      <c r="B8" s="9" t="s">
        <v>156</v>
      </c>
      <c r="C8" s="216">
        <f>SUM(C9:C10,C13:C14)</f>
        <v>34174289</v>
      </c>
      <c r="D8" s="211">
        <f>SUM(D9:D10,D13:D14)</f>
        <v>33446644</v>
      </c>
      <c r="F8" s="33"/>
    </row>
    <row r="9" spans="2:6" ht="17.100000000000001" customHeight="1" x14ac:dyDescent="0.2">
      <c r="B9" s="186" t="s">
        <v>155</v>
      </c>
      <c r="C9" s="247">
        <v>4125405</v>
      </c>
      <c r="D9" s="246">
        <v>3976187</v>
      </c>
    </row>
    <row r="10" spans="2:6" ht="17.100000000000001" customHeight="1" x14ac:dyDescent="0.2">
      <c r="B10" s="186" t="s">
        <v>154</v>
      </c>
      <c r="C10" s="247">
        <f>SUM(C11:C12)</f>
        <v>28267897</v>
      </c>
      <c r="D10" s="246">
        <f>SUM(D11:D12)</f>
        <v>26976422</v>
      </c>
    </row>
    <row r="11" spans="2:6" ht="17.100000000000001" customHeight="1" x14ac:dyDescent="0.2">
      <c r="B11" s="186" t="s">
        <v>153</v>
      </c>
      <c r="C11" s="247">
        <v>5037182</v>
      </c>
      <c r="D11" s="246">
        <v>5825318</v>
      </c>
    </row>
    <row r="12" spans="2:6" ht="17.100000000000001" customHeight="1" x14ac:dyDescent="0.2">
      <c r="B12" s="186" t="s">
        <v>152</v>
      </c>
      <c r="C12" s="247">
        <v>23230715</v>
      </c>
      <c r="D12" s="246">
        <v>21151104</v>
      </c>
    </row>
    <row r="13" spans="2:6" ht="17.100000000000001" customHeight="1" x14ac:dyDescent="0.2">
      <c r="B13" s="186" t="s">
        <v>151</v>
      </c>
      <c r="C13" s="247">
        <v>56676</v>
      </c>
      <c r="D13" s="246">
        <v>1031029</v>
      </c>
    </row>
    <row r="14" spans="2:6" ht="17.100000000000001" customHeight="1" thickBot="1" x14ac:dyDescent="0.25">
      <c r="B14" s="186" t="s">
        <v>150</v>
      </c>
      <c r="C14" s="247">
        <v>1724311</v>
      </c>
      <c r="D14" s="246">
        <v>1463006</v>
      </c>
    </row>
    <row r="15" spans="2:6" ht="17.100000000000001" customHeight="1" thickBot="1" x14ac:dyDescent="0.25">
      <c r="B15" s="9" t="s">
        <v>149</v>
      </c>
      <c r="C15" s="216">
        <v>1228230</v>
      </c>
      <c r="D15" s="211">
        <v>1520728</v>
      </c>
      <c r="E15" s="250"/>
      <c r="F15" s="33"/>
    </row>
    <row r="16" spans="2:6" ht="17.100000000000001" customHeight="1" thickBot="1" x14ac:dyDescent="0.25">
      <c r="B16" s="9" t="s">
        <v>23</v>
      </c>
      <c r="C16" s="216">
        <v>228424</v>
      </c>
      <c r="D16" s="211">
        <v>183355</v>
      </c>
      <c r="E16" s="250"/>
      <c r="F16" s="33"/>
    </row>
    <row r="17" spans="2:6" ht="17.100000000000001" customHeight="1" thickBot="1" x14ac:dyDescent="0.25">
      <c r="B17" s="9" t="s">
        <v>148</v>
      </c>
      <c r="C17" s="216">
        <f>C3+C8+C15+C16</f>
        <v>84580772</v>
      </c>
      <c r="D17" s="211">
        <f>D3+D8+D15+D16</f>
        <v>81409410</v>
      </c>
    </row>
    <row r="18" spans="2:6" ht="17.100000000000001" customHeight="1" thickBot="1" x14ac:dyDescent="0.25">
      <c r="B18" s="186" t="s">
        <v>147</v>
      </c>
      <c r="C18" s="247">
        <v>-2817495</v>
      </c>
      <c r="D18" s="246">
        <v>-2975864</v>
      </c>
      <c r="E18" s="249"/>
      <c r="F18" s="33"/>
    </row>
    <row r="19" spans="2:6" ht="17.100000000000001" customHeight="1" thickBot="1" x14ac:dyDescent="0.25">
      <c r="B19" s="9" t="s">
        <v>146</v>
      </c>
      <c r="C19" s="216">
        <f>SUM(C17:C18)</f>
        <v>81763277</v>
      </c>
      <c r="D19" s="211">
        <f>SUM(D17:D18)</f>
        <v>78433546</v>
      </c>
      <c r="F19" s="33"/>
    </row>
    <row r="20" spans="2:6" ht="9.9499999999999993" customHeight="1" thickBot="1" x14ac:dyDescent="0.25">
      <c r="B20" s="248"/>
      <c r="C20" s="103"/>
      <c r="D20" s="103"/>
    </row>
    <row r="21" spans="2:6" ht="17.100000000000001" customHeight="1" thickBot="1" x14ac:dyDescent="0.25">
      <c r="B21" s="9" t="s">
        <v>20</v>
      </c>
      <c r="C21" s="216">
        <v>26909693</v>
      </c>
      <c r="D21" s="211">
        <v>26169938</v>
      </c>
    </row>
    <row r="22" spans="2:6" ht="17.100000000000001" customHeight="1" thickBot="1" x14ac:dyDescent="0.25">
      <c r="B22" s="9" t="s">
        <v>19</v>
      </c>
      <c r="C22" s="216">
        <v>54853584</v>
      </c>
      <c r="D22" s="211">
        <v>52263608</v>
      </c>
    </row>
    <row r="23" spans="2:6" ht="17.100000000000001" customHeight="1" x14ac:dyDescent="0.2">
      <c r="B23" s="91"/>
      <c r="C23" s="90"/>
      <c r="D23" s="235"/>
    </row>
    <row r="24" spans="2:6" ht="17.100000000000001" customHeight="1" x14ac:dyDescent="0.2">
      <c r="B24" s="91"/>
      <c r="C24" s="90"/>
      <c r="D24" s="235"/>
    </row>
    <row r="25" spans="2:6" ht="17.100000000000001" customHeight="1" x14ac:dyDescent="0.2">
      <c r="B25" s="21"/>
      <c r="C25" s="20" t="s">
        <v>5</v>
      </c>
      <c r="D25" s="19" t="s">
        <v>4</v>
      </c>
    </row>
    <row r="26" spans="2:6" ht="17.100000000000001" customHeight="1" thickBot="1" x14ac:dyDescent="0.25">
      <c r="B26" s="243" t="s">
        <v>145</v>
      </c>
      <c r="C26" s="242"/>
      <c r="D26" s="242"/>
    </row>
    <row r="27" spans="2:6" ht="17.100000000000001" customHeight="1" x14ac:dyDescent="0.2">
      <c r="B27" s="241" t="s">
        <v>142</v>
      </c>
      <c r="C27" s="240">
        <v>80043614</v>
      </c>
      <c r="D27" s="239">
        <v>76777938</v>
      </c>
    </row>
    <row r="28" spans="2:6" ht="17.100000000000001" customHeight="1" thickBot="1" x14ac:dyDescent="0.25">
      <c r="B28" s="238" t="s">
        <v>144</v>
      </c>
      <c r="C28" s="237">
        <v>-226430</v>
      </c>
      <c r="D28" s="236">
        <v>-247198</v>
      </c>
    </row>
    <row r="29" spans="2:6" ht="17.100000000000001" customHeight="1" thickBot="1" x14ac:dyDescent="0.25">
      <c r="B29" s="9" t="s">
        <v>140</v>
      </c>
      <c r="C29" s="216">
        <f>SUM(C27:C28)</f>
        <v>79817184</v>
      </c>
      <c r="D29" s="211">
        <f>SUM(D27:D28)</f>
        <v>76530740</v>
      </c>
    </row>
    <row r="30" spans="2:6" ht="5.25" hidden="1" customHeight="1" x14ac:dyDescent="0.2">
      <c r="B30" s="245"/>
      <c r="C30" s="244"/>
      <c r="D30" s="103"/>
    </row>
    <row r="31" spans="2:6" ht="17.100000000000001" customHeight="1" thickBot="1" x14ac:dyDescent="0.25">
      <c r="B31" s="243" t="s">
        <v>143</v>
      </c>
      <c r="C31" s="242"/>
      <c r="D31" s="242"/>
    </row>
    <row r="32" spans="2:6" ht="17.100000000000001" customHeight="1" x14ac:dyDescent="0.2">
      <c r="B32" s="241" t="s">
        <v>142</v>
      </c>
      <c r="C32" s="240">
        <v>4537158</v>
      </c>
      <c r="D32" s="239">
        <v>4631472</v>
      </c>
    </row>
    <row r="33" spans="2:4" ht="17.100000000000001" customHeight="1" thickBot="1" x14ac:dyDescent="0.25">
      <c r="B33" s="238" t="s">
        <v>141</v>
      </c>
      <c r="C33" s="237">
        <v>-2591065</v>
      </c>
      <c r="D33" s="236">
        <v>-2728666</v>
      </c>
    </row>
    <row r="34" spans="2:4" ht="17.100000000000001" customHeight="1" thickBot="1" x14ac:dyDescent="0.25">
      <c r="B34" s="9" t="s">
        <v>140</v>
      </c>
      <c r="C34" s="216">
        <f>SUM(C32:C33)</f>
        <v>1946093</v>
      </c>
      <c r="D34" s="211">
        <f>SUM(D32:D33)</f>
        <v>1902806</v>
      </c>
    </row>
    <row r="35" spans="2:4" ht="17.100000000000001" customHeight="1" x14ac:dyDescent="0.2">
      <c r="B35" s="91"/>
      <c r="C35" s="90"/>
      <c r="D35" s="235"/>
    </row>
    <row r="36" spans="2:4" ht="17.100000000000001" customHeight="1" x14ac:dyDescent="0.2">
      <c r="D36" s="232"/>
    </row>
    <row r="37" spans="2:4" ht="17.100000000000001" customHeight="1" thickBot="1" x14ac:dyDescent="0.25">
      <c r="B37" s="21"/>
      <c r="C37" s="20" t="s">
        <v>5</v>
      </c>
      <c r="D37" s="19" t="s">
        <v>4</v>
      </c>
    </row>
    <row r="38" spans="2:4" ht="24.95" customHeight="1" thickBot="1" x14ac:dyDescent="0.25">
      <c r="B38" s="9" t="s">
        <v>139</v>
      </c>
      <c r="C38" s="216">
        <f>SUM(C39:C41)</f>
        <v>7667168</v>
      </c>
      <c r="D38" s="211">
        <f>SUM(D39:D41)</f>
        <v>6496455</v>
      </c>
    </row>
    <row r="39" spans="2:4" ht="17.100000000000001" customHeight="1" x14ac:dyDescent="0.2">
      <c r="B39" s="225" t="s">
        <v>135</v>
      </c>
      <c r="C39" s="231">
        <v>2244468</v>
      </c>
      <c r="D39" s="230">
        <v>1855227</v>
      </c>
    </row>
    <row r="40" spans="2:4" ht="17.100000000000001" customHeight="1" x14ac:dyDescent="0.2">
      <c r="B40" s="222" t="s">
        <v>134</v>
      </c>
      <c r="C40" s="229">
        <v>4590979</v>
      </c>
      <c r="D40" s="228">
        <v>3794792</v>
      </c>
    </row>
    <row r="41" spans="2:4" ht="17.100000000000001" customHeight="1" x14ac:dyDescent="0.2">
      <c r="B41" s="222" t="s">
        <v>133</v>
      </c>
      <c r="C41" s="221">
        <v>831721</v>
      </c>
      <c r="D41" s="220">
        <v>846436</v>
      </c>
    </row>
    <row r="42" spans="2:4" ht="24.95" customHeight="1" thickBot="1" x14ac:dyDescent="0.25">
      <c r="B42" s="219" t="s">
        <v>138</v>
      </c>
      <c r="C42" s="218">
        <v>-654009</v>
      </c>
      <c r="D42" s="217">
        <v>-619045</v>
      </c>
    </row>
    <row r="43" spans="2:4" ht="17.100000000000001" customHeight="1" thickBot="1" x14ac:dyDescent="0.25">
      <c r="B43" s="9" t="s">
        <v>137</v>
      </c>
      <c r="C43" s="216">
        <f>SUM(C39:C42)</f>
        <v>7013159</v>
      </c>
      <c r="D43" s="211">
        <f>SUM(D39:D42)</f>
        <v>5877410</v>
      </c>
    </row>
    <row r="44" spans="2:4" ht="9.9499999999999993" customHeight="1" thickBot="1" x14ac:dyDescent="0.25">
      <c r="B44" s="227"/>
      <c r="C44" s="226"/>
      <c r="D44" s="226"/>
    </row>
    <row r="45" spans="2:4" ht="24.95" customHeight="1" thickBot="1" x14ac:dyDescent="0.25">
      <c r="B45" s="9" t="s">
        <v>136</v>
      </c>
      <c r="C45" s="216"/>
      <c r="D45" s="211"/>
    </row>
    <row r="46" spans="2:4" ht="17.100000000000001" customHeight="1" x14ac:dyDescent="0.2">
      <c r="B46" s="225" t="s">
        <v>135</v>
      </c>
      <c r="C46" s="224">
        <v>2005193</v>
      </c>
      <c r="D46" s="223">
        <v>1645833</v>
      </c>
    </row>
    <row r="47" spans="2:4" ht="17.100000000000001" customHeight="1" x14ac:dyDescent="0.2">
      <c r="B47" s="222" t="s">
        <v>134</v>
      </c>
      <c r="C47" s="221">
        <v>4229557</v>
      </c>
      <c r="D47" s="220">
        <v>3466354</v>
      </c>
    </row>
    <row r="48" spans="2:4" ht="17.100000000000001" customHeight="1" thickBot="1" x14ac:dyDescent="0.25">
      <c r="B48" s="219" t="s">
        <v>133</v>
      </c>
      <c r="C48" s="218">
        <v>778409</v>
      </c>
      <c r="D48" s="217">
        <v>765223</v>
      </c>
    </row>
    <row r="49" spans="2:4" ht="17.100000000000001" customHeight="1" thickBot="1" x14ac:dyDescent="0.25">
      <c r="B49" s="9" t="s">
        <v>132</v>
      </c>
      <c r="C49" s="216">
        <f>SUM(C46:C48)</f>
        <v>7013159</v>
      </c>
      <c r="D49" s="211">
        <f>SUM(D46:D48)</f>
        <v>5877410</v>
      </c>
    </row>
    <row r="50" spans="2:4" ht="24.95" customHeight="1" thickBot="1" x14ac:dyDescent="0.25">
      <c r="B50" s="9" t="s">
        <v>131</v>
      </c>
      <c r="C50" s="216">
        <v>-196644</v>
      </c>
      <c r="D50" s="211">
        <v>-181350</v>
      </c>
    </row>
    <row r="51" spans="2:4" ht="21.75" thickBot="1" x14ac:dyDescent="0.25">
      <c r="B51" s="9" t="s">
        <v>130</v>
      </c>
      <c r="C51" s="216">
        <f>SUM(C49:C50)</f>
        <v>6816515</v>
      </c>
      <c r="D51" s="211">
        <f>SUM(D49:D50)</f>
        <v>5696060</v>
      </c>
    </row>
    <row r="52" spans="2:4" ht="9.9499999999999993" customHeight="1" thickBot="1" x14ac:dyDescent="0.25">
      <c r="B52" s="215"/>
      <c r="C52" s="214"/>
      <c r="D52" s="213"/>
    </row>
    <row r="53" spans="2:4" ht="21.75" thickBot="1" x14ac:dyDescent="0.25">
      <c r="B53" s="9" t="s">
        <v>129</v>
      </c>
      <c r="C53" s="212">
        <v>659965</v>
      </c>
      <c r="D53" s="211">
        <v>518560</v>
      </c>
    </row>
  </sheetData>
  <pageMargins left="0.28999999999999998" right="0.2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37</vt:i4>
      </vt:variant>
      <vt:variant>
        <vt:lpstr>Zakresy nazwane</vt:lpstr>
      </vt:variant>
      <vt:variant>
        <vt:i4>2</vt:i4>
      </vt:variant>
    </vt:vector>
  </HeadingPairs>
  <TitlesOfParts>
    <vt:vector size="39" baseType="lpstr">
      <vt:lpstr>Nota 17 Kasa </vt:lpstr>
      <vt:lpstr>Nota 18 Naleźności od banków</vt:lpstr>
      <vt:lpstr>Nota 18 Banki - jakość</vt:lpstr>
      <vt:lpstr>Nota 18 Rating</vt:lpstr>
      <vt:lpstr>Nota 19 PDO </vt:lpstr>
      <vt:lpstr>Nota 20 Instr. pochodne</vt:lpstr>
      <vt:lpstr>Nota 21 Rach. zabezp.</vt:lpstr>
      <vt:lpstr>Nota 21 CF rach. zabezp. </vt:lpstr>
      <vt:lpstr>Nota 22 Kredyty</vt:lpstr>
      <vt:lpstr>Nota 22 Rezerwy</vt:lpstr>
      <vt:lpstr>Nota 22 Kredyty jakość</vt:lpstr>
      <vt:lpstr>Nota 22 Kredyty nieprzeterm.</vt:lpstr>
      <vt:lpstr>Nota 22 Kredyty przeterminowane</vt:lpstr>
      <vt:lpstr>Nota 22 Kredyty z utratą wart.</vt:lpstr>
      <vt:lpstr>Nota 22 Finansowy efekt zabezp</vt:lpstr>
      <vt:lpstr>Nota 23 Inwestycyjne pap. wart.</vt:lpstr>
      <vt:lpstr>Nota 23 cd</vt:lpstr>
      <vt:lpstr>Nota 24 Wartości niemat.</vt:lpstr>
      <vt:lpstr>Nota 24 zmiana stanu  </vt:lpstr>
      <vt:lpstr>Nota 25 Rzeczowe aktywa</vt:lpstr>
      <vt:lpstr>Nota 25-zmiana stanu</vt:lpstr>
      <vt:lpstr>Nota 25 Leasing operacyjny</vt:lpstr>
      <vt:lpstr>Nota 26 Inne aktywa</vt:lpstr>
      <vt:lpstr>Nota 27 Zob. wobec banków</vt:lpstr>
      <vt:lpstr>Nota 28 Depozyty</vt:lpstr>
      <vt:lpstr>Nota 29 Dłużne pap. wart.</vt:lpstr>
      <vt:lpstr>Nota 29 Zmiana stanu</vt:lpstr>
      <vt:lpstr>Nota 30 Zob. podporządkowane </vt:lpstr>
      <vt:lpstr>Nota 30 Zmiana stanu</vt:lpstr>
      <vt:lpstr>Nota 31 Pozostałe zob.</vt:lpstr>
      <vt:lpstr>Nota 32 Rezerwy</vt:lpstr>
      <vt:lpstr>Nota 33 Podatek odr.</vt:lpstr>
      <vt:lpstr>Nota 36 Zobowiązania warunkowe</vt:lpstr>
      <vt:lpstr>Nota 37 Aktywa zastawione</vt:lpstr>
      <vt:lpstr>Nota 38 Kapitał akcyjny</vt:lpstr>
      <vt:lpstr>Nota 40 Zyski zatrzymane</vt:lpstr>
      <vt:lpstr>Nota 41 Inne pozycje kapitału</vt:lpstr>
      <vt:lpstr>'Nota 22 Finansowy efekt zabezp'!Obszar_wydruku</vt:lpstr>
      <vt:lpstr>'Nota 22 Kredyty'!Obszar_wydruku</vt:lpstr>
    </vt:vector>
  </TitlesOfParts>
  <Company>DEI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Filipkowska, Joanna, (mBank/DIR)</dc:creator>
  <cp:lastModifiedBy>Filipkowska, Joanna, (mBank/DIR)</cp:lastModifiedBy>
  <dcterms:created xsi:type="dcterms:W3CDTF">2017-03-13T13:16:28Z</dcterms:created>
  <dcterms:modified xsi:type="dcterms:W3CDTF">2017-03-15T14:19:43Z</dcterms:modified>
</cp:coreProperties>
</file>